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0105881\Desktop\物価高騰対策支援金\"/>
    </mc:Choice>
  </mc:AlternateContent>
  <workbookProtection workbookPassword="F728" lockStructure="1"/>
  <bookViews>
    <workbookView xWindow="0" yWindow="0" windowWidth="20490" windowHeight="6780"/>
  </bookViews>
  <sheets>
    <sheet name="計算シート" sheetId="6" r:id="rId1"/>
    <sheet name="計算シート別紙" sheetId="8" r:id="rId2"/>
    <sheet name="単価表" sheetId="5" state="veryHidden" r:id="rId3"/>
  </sheets>
  <definedNames>
    <definedName name="_xlnm._FilterDatabase" localSheetId="2" hidden="1">単価表!$A$3:$M$42</definedName>
    <definedName name="開始日">計算シート!$B$10</definedName>
    <definedName name="高齢者施設等通所施設">単価表!$C$16:$C$22</definedName>
    <definedName name="高齢者施設等入所施設">単価表!$C$4:$C$15</definedName>
    <definedName name="施設形態">単価表!$R$4:$R$5</definedName>
    <definedName name="施設種別">単価表!$Q$4:$Q$5</definedName>
    <definedName name="障害福祉施設等通所施設">単価表!$C$31:$C$43</definedName>
    <definedName name="障害福祉施設等入所施設">単価表!$C$23:$C$30</definedName>
    <definedName name="食事提供通所施設">単価表!$T$4:$T$5</definedName>
    <definedName name="食事提供入所施設">単価表!$S$4:$S$4</definedName>
    <definedName name="単価表">単価表!$D$4:$M$43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8" l="1"/>
  <c r="J41" i="8"/>
  <c r="K41" i="8"/>
  <c r="I42" i="8"/>
  <c r="J42" i="8"/>
  <c r="K42" i="8"/>
  <c r="K40" i="8"/>
  <c r="J40" i="8"/>
  <c r="I40" i="8"/>
  <c r="C4" i="8" l="1"/>
  <c r="H32" i="6" l="1"/>
  <c r="F32" i="6"/>
  <c r="E32" i="8" l="1"/>
  <c r="D32" i="8"/>
  <c r="K6" i="6"/>
  <c r="H23" i="6" l="1"/>
  <c r="D12" i="6"/>
  <c r="D15" i="6" s="1"/>
  <c r="E43" i="8" l="1"/>
  <c r="D43" i="8"/>
  <c r="C43" i="8"/>
  <c r="I35" i="8"/>
  <c r="L35" i="8" s="1"/>
  <c r="J35" i="8"/>
  <c r="M35" i="8" s="1"/>
  <c r="K35" i="8"/>
  <c r="N35" i="8" s="1"/>
  <c r="I36" i="8"/>
  <c r="L36" i="8" s="1"/>
  <c r="J36" i="8"/>
  <c r="M36" i="8" s="1"/>
  <c r="K36" i="8"/>
  <c r="N36" i="8" s="1"/>
  <c r="I37" i="8"/>
  <c r="L37" i="8" s="1"/>
  <c r="J37" i="8"/>
  <c r="M37" i="8" s="1"/>
  <c r="K37" i="8"/>
  <c r="N37" i="8" s="1"/>
  <c r="I38" i="8"/>
  <c r="L38" i="8" s="1"/>
  <c r="J38" i="8"/>
  <c r="M38" i="8" s="1"/>
  <c r="K38" i="8"/>
  <c r="N38" i="8" s="1"/>
  <c r="L40" i="8"/>
  <c r="M40" i="8"/>
  <c r="N40" i="8"/>
  <c r="L41" i="8"/>
  <c r="M41" i="8"/>
  <c r="N41" i="8"/>
  <c r="L42" i="8"/>
  <c r="M42" i="8"/>
  <c r="N42" i="8"/>
  <c r="K34" i="8"/>
  <c r="N34" i="8" s="1"/>
  <c r="J34" i="8"/>
  <c r="M34" i="8" s="1"/>
  <c r="I34" i="8"/>
  <c r="L34" i="8" s="1"/>
  <c r="L31" i="8"/>
  <c r="M31" i="8"/>
  <c r="N31" i="8"/>
  <c r="K31" i="8"/>
  <c r="J31" i="8"/>
  <c r="I31" i="8"/>
  <c r="L30" i="8"/>
  <c r="M30" i="8"/>
  <c r="N30" i="8"/>
  <c r="K30" i="8"/>
  <c r="J30" i="8"/>
  <c r="I30" i="8"/>
  <c r="L29" i="8"/>
  <c r="M29" i="8"/>
  <c r="N29" i="8"/>
  <c r="K29" i="8"/>
  <c r="J29" i="8"/>
  <c r="I29" i="8"/>
  <c r="L28" i="8"/>
  <c r="M28" i="8"/>
  <c r="N28" i="8"/>
  <c r="K28" i="8"/>
  <c r="J28" i="8"/>
  <c r="I28" i="8"/>
  <c r="L27" i="8"/>
  <c r="M27" i="8"/>
  <c r="N27" i="8"/>
  <c r="K27" i="8"/>
  <c r="J27" i="8"/>
  <c r="I27" i="8"/>
  <c r="L26" i="8"/>
  <c r="M26" i="8"/>
  <c r="N26" i="8"/>
  <c r="K26" i="8"/>
  <c r="J26" i="8"/>
  <c r="I26" i="8"/>
  <c r="L25" i="8"/>
  <c r="M25" i="8"/>
  <c r="N25" i="8"/>
  <c r="K25" i="8"/>
  <c r="J25" i="8"/>
  <c r="I25" i="8"/>
  <c r="L24" i="8"/>
  <c r="M24" i="8"/>
  <c r="N24" i="8"/>
  <c r="K24" i="8"/>
  <c r="J24" i="8"/>
  <c r="I24" i="8"/>
  <c r="L23" i="8"/>
  <c r="M23" i="8"/>
  <c r="N23" i="8"/>
  <c r="K23" i="8"/>
  <c r="J23" i="8"/>
  <c r="I23" i="8"/>
  <c r="L22" i="8"/>
  <c r="M22" i="8"/>
  <c r="N22" i="8"/>
  <c r="K22" i="8"/>
  <c r="J22" i="8"/>
  <c r="I22" i="8"/>
  <c r="L21" i="8"/>
  <c r="M21" i="8"/>
  <c r="N21" i="8"/>
  <c r="K21" i="8"/>
  <c r="J21" i="8"/>
  <c r="I21" i="8"/>
  <c r="L20" i="8"/>
  <c r="M20" i="8"/>
  <c r="N20" i="8"/>
  <c r="K20" i="8"/>
  <c r="J20" i="8"/>
  <c r="I20" i="8"/>
  <c r="L17" i="8"/>
  <c r="M17" i="8"/>
  <c r="K17" i="8"/>
  <c r="J17" i="8"/>
  <c r="I17" i="8"/>
  <c r="L16" i="8"/>
  <c r="M16" i="8"/>
  <c r="K16" i="8"/>
  <c r="J16" i="8"/>
  <c r="I16" i="8"/>
  <c r="L15" i="8"/>
  <c r="M15" i="8"/>
  <c r="K15" i="8"/>
  <c r="J15" i="8"/>
  <c r="I15" i="8"/>
  <c r="L14" i="8"/>
  <c r="M14" i="8"/>
  <c r="K14" i="8"/>
  <c r="J14" i="8"/>
  <c r="I14" i="8"/>
  <c r="L13" i="8"/>
  <c r="M13" i="8"/>
  <c r="K13" i="8"/>
  <c r="J13" i="8"/>
  <c r="I13" i="8"/>
  <c r="L12" i="8"/>
  <c r="M12" i="8"/>
  <c r="K12" i="8"/>
  <c r="J12" i="8"/>
  <c r="I12" i="8"/>
  <c r="L11" i="8"/>
  <c r="M11" i="8"/>
  <c r="K11" i="8"/>
  <c r="J11" i="8"/>
  <c r="I11" i="8"/>
  <c r="L10" i="8"/>
  <c r="M10" i="8"/>
  <c r="K10" i="8"/>
  <c r="J10" i="8"/>
  <c r="I10" i="8"/>
  <c r="L9" i="8"/>
  <c r="M9" i="8"/>
  <c r="K9" i="8"/>
  <c r="J9" i="8"/>
  <c r="I9" i="8"/>
  <c r="L8" i="8"/>
  <c r="M8" i="8"/>
  <c r="K8" i="8"/>
  <c r="J8" i="8"/>
  <c r="I8" i="8"/>
  <c r="L7" i="8"/>
  <c r="M7" i="8"/>
  <c r="K7" i="8"/>
  <c r="J7" i="8"/>
  <c r="I7" i="8"/>
  <c r="L6" i="8"/>
  <c r="M6" i="8"/>
  <c r="K6" i="8"/>
  <c r="J6" i="8"/>
  <c r="I6" i="8"/>
  <c r="I12" i="6"/>
  <c r="I15" i="6" s="1"/>
  <c r="H12" i="6"/>
  <c r="H15" i="6" s="1"/>
  <c r="G12" i="6"/>
  <c r="G15" i="6" s="1"/>
  <c r="F12" i="6"/>
  <c r="F15" i="6" s="1"/>
  <c r="E12" i="6"/>
  <c r="E15" i="6" s="1"/>
  <c r="F40" i="8"/>
  <c r="F41" i="8"/>
  <c r="F42" i="8"/>
  <c r="O35" i="8" l="1"/>
  <c r="O40" i="8"/>
  <c r="O34" i="8"/>
  <c r="O41" i="8"/>
  <c r="O36" i="8"/>
  <c r="O42" i="8"/>
  <c r="O37" i="8"/>
  <c r="J13" i="6"/>
  <c r="J14" i="6"/>
  <c r="F19" i="6" s="1"/>
  <c r="O38" i="8"/>
  <c r="F33" i="8"/>
  <c r="F19" i="8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H19" i="6" l="1"/>
  <c r="Q41" i="8"/>
  <c r="Q34" i="8"/>
  <c r="Q10" i="8"/>
  <c r="Q11" i="8" s="1"/>
  <c r="P16" i="8"/>
  <c r="P17" i="8" s="1"/>
  <c r="R10" i="8"/>
  <c r="R11" i="8" s="1"/>
  <c r="P10" i="8"/>
  <c r="P11" i="8" s="1"/>
  <c r="R16" i="8"/>
  <c r="R17" i="8" s="1"/>
  <c r="Q16" i="8"/>
  <c r="Q17" i="8" s="1"/>
  <c r="Q38" i="8" l="1"/>
  <c r="H24" i="6" s="1"/>
  <c r="Q37" i="8"/>
  <c r="Q44" i="8"/>
  <c r="Q45" i="8"/>
  <c r="F24" i="6" s="1"/>
  <c r="Q42" i="8"/>
  <c r="Q43" i="8"/>
  <c r="Q36" i="8"/>
  <c r="Q35" i="8"/>
  <c r="F7" i="8"/>
  <c r="F8" i="8"/>
  <c r="F9" i="8"/>
  <c r="F10" i="8"/>
  <c r="F11" i="8"/>
  <c r="F12" i="8"/>
  <c r="F13" i="8"/>
  <c r="F14" i="8"/>
  <c r="F15" i="8"/>
  <c r="F16" i="8"/>
  <c r="F17" i="8"/>
  <c r="F20" i="8"/>
  <c r="F21" i="8"/>
  <c r="F22" i="8"/>
  <c r="F23" i="8"/>
  <c r="F24" i="8"/>
  <c r="F25" i="8"/>
  <c r="F26" i="8"/>
  <c r="F27" i="8"/>
  <c r="F28" i="8"/>
  <c r="F29" i="8"/>
  <c r="F30" i="8"/>
  <c r="F31" i="8"/>
  <c r="F34" i="8"/>
  <c r="F35" i="8"/>
  <c r="F36" i="8"/>
  <c r="F37" i="8"/>
  <c r="F38" i="8"/>
  <c r="F6" i="8"/>
  <c r="D44" i="8"/>
  <c r="E44" i="8"/>
  <c r="H27" i="6" s="1"/>
  <c r="C44" i="8"/>
  <c r="C32" i="8"/>
  <c r="D18" i="8"/>
  <c r="E18" i="8"/>
  <c r="C18" i="8"/>
  <c r="H25" i="6" l="1"/>
  <c r="H26" i="6"/>
  <c r="F32" i="8"/>
  <c r="B46" i="8" s="1"/>
  <c r="F18" i="8"/>
  <c r="B45" i="8" s="1"/>
  <c r="F44" i="8"/>
  <c r="F43" i="8"/>
  <c r="Q6" i="8" l="1"/>
  <c r="F8" i="6"/>
  <c r="F26" i="6" l="1"/>
  <c r="F25" i="6"/>
  <c r="F27" i="6"/>
  <c r="B19" i="6"/>
  <c r="D19" i="6"/>
  <c r="J32" i="6"/>
  <c r="B36" i="6" s="1"/>
  <c r="J19" i="6" l="1"/>
  <c r="H38" i="6"/>
  <c r="J27" i="6"/>
  <c r="J26" i="6"/>
  <c r="J25" i="6"/>
  <c r="K27" i="6"/>
  <c r="K26" i="6"/>
  <c r="H28" i="6"/>
  <c r="F28" i="6"/>
  <c r="J28" i="6" l="1"/>
  <c r="F38" i="6" s="1"/>
  <c r="J38" i="6" s="1"/>
</calcChain>
</file>

<file path=xl/sharedStrings.xml><?xml version="1.0" encoding="utf-8"?>
<sst xmlns="http://schemas.openxmlformats.org/spreadsheetml/2006/main" count="325" uniqueCount="164">
  <si>
    <t>開所日数</t>
    <rPh sb="0" eb="2">
      <t>カイショ</t>
    </rPh>
    <rPh sb="2" eb="4">
      <t>ニッスウ</t>
    </rPh>
    <phoneticPr fontId="1"/>
  </si>
  <si>
    <t>合計</t>
    <rPh sb="0" eb="2">
      <t>ゴウケイ</t>
    </rPh>
    <phoneticPr fontId="1"/>
  </si>
  <si>
    <t>基本額</t>
    <rPh sb="0" eb="3">
      <t>キホンガク</t>
    </rPh>
    <phoneticPr fontId="1"/>
  </si>
  <si>
    <t>光熱水費</t>
    <rPh sb="0" eb="4">
      <t>コウネツスイヒ</t>
    </rPh>
    <phoneticPr fontId="1"/>
  </si>
  <si>
    <t>食材料費</t>
    <rPh sb="0" eb="4">
      <t>ショクザイリョウヒ</t>
    </rPh>
    <phoneticPr fontId="1"/>
  </si>
  <si>
    <t>燃料費</t>
    <rPh sb="0" eb="3">
      <t>ネンリョウヒ</t>
    </rPh>
    <phoneticPr fontId="1"/>
  </si>
  <si>
    <t>②年間増加相当額</t>
    <rPh sb="1" eb="5">
      <t>ネンカンゾウカ</t>
    </rPh>
    <rPh sb="5" eb="8">
      <t>ソウトウガク</t>
    </rPh>
    <phoneticPr fontId="1"/>
  </si>
  <si>
    <t>交付請求額</t>
    <rPh sb="0" eb="2">
      <t>コウフ</t>
    </rPh>
    <rPh sb="2" eb="5">
      <t>セイキュウガク</t>
    </rPh>
    <phoneticPr fontId="1"/>
  </si>
  <si>
    <t>施設形態</t>
    <rPh sb="0" eb="2">
      <t>シセツ</t>
    </rPh>
    <rPh sb="2" eb="4">
      <t>ケイタイ</t>
    </rPh>
    <phoneticPr fontId="1"/>
  </si>
  <si>
    <t>施設区分</t>
    <rPh sb="0" eb="2">
      <t>シセツ</t>
    </rPh>
    <rPh sb="2" eb="4">
      <t>クブン</t>
    </rPh>
    <phoneticPr fontId="1"/>
  </si>
  <si>
    <t>基本額</t>
    <rPh sb="0" eb="2">
      <t>キホン</t>
    </rPh>
    <rPh sb="2" eb="3">
      <t>ガク</t>
    </rPh>
    <phoneticPr fontId="1"/>
  </si>
  <si>
    <t>高齢者施設等</t>
    <rPh sb="0" eb="3">
      <t>コウレイシャ</t>
    </rPh>
    <rPh sb="3" eb="5">
      <t>シセツ</t>
    </rPh>
    <rPh sb="5" eb="6">
      <t>トウ</t>
    </rPh>
    <phoneticPr fontId="1"/>
  </si>
  <si>
    <t>定員加算</t>
    <rPh sb="0" eb="2">
      <t>テイイン</t>
    </rPh>
    <rPh sb="2" eb="4">
      <t>カサン</t>
    </rPh>
    <phoneticPr fontId="1"/>
  </si>
  <si>
    <t>通所施設</t>
    <rPh sb="0" eb="2">
      <t>ツウショ</t>
    </rPh>
    <rPh sb="2" eb="4">
      <t>シセツ</t>
    </rPh>
    <phoneticPr fontId="1"/>
  </si>
  <si>
    <t>施設入所支援</t>
  </si>
  <si>
    <t>共同生活援助</t>
  </si>
  <si>
    <t>福祉型障害児入所施設</t>
  </si>
  <si>
    <t>医療型障害児入所施設</t>
  </si>
  <si>
    <t>短期入所</t>
  </si>
  <si>
    <t>救護施設</t>
  </si>
  <si>
    <t>障害福祉施設等</t>
    <rPh sb="0" eb="2">
      <t>ショウガイ</t>
    </rPh>
    <rPh sb="2" eb="4">
      <t>フクシ</t>
    </rPh>
    <rPh sb="4" eb="6">
      <t>シセツ</t>
    </rPh>
    <rPh sb="6" eb="7">
      <t>トウ</t>
    </rPh>
    <phoneticPr fontId="1"/>
  </si>
  <si>
    <t>療養介護</t>
  </si>
  <si>
    <t>生活介護</t>
  </si>
  <si>
    <t>宿泊型自立訓練</t>
  </si>
  <si>
    <t>就労移行支援</t>
  </si>
  <si>
    <t>就労継続支援A 型</t>
  </si>
  <si>
    <t>就労継続支援B 型</t>
  </si>
  <si>
    <t>施設種別</t>
    <rPh sb="0" eb="2">
      <t>シセツ</t>
    </rPh>
    <rPh sb="2" eb="4">
      <t>シュベツ</t>
    </rPh>
    <phoneticPr fontId="1"/>
  </si>
  <si>
    <t>施設形態</t>
    <rPh sb="0" eb="2">
      <t>シセツ</t>
    </rPh>
    <rPh sb="2" eb="4">
      <t>ケイタイ</t>
    </rPh>
    <phoneticPr fontId="1"/>
  </si>
  <si>
    <t>高齢者施設等</t>
    <rPh sb="0" eb="3">
      <t>コウレイシャ</t>
    </rPh>
    <rPh sb="3" eb="5">
      <t>シセツ</t>
    </rPh>
    <rPh sb="5" eb="6">
      <t>トウ</t>
    </rPh>
    <phoneticPr fontId="1"/>
  </si>
  <si>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</si>
  <si>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ナ</t>
    </rPh>
    <phoneticPr fontId="1"/>
  </si>
  <si>
    <t>定員</t>
    <rPh sb="0" eb="2">
      <t>テイイン</t>
    </rPh>
    <phoneticPr fontId="1"/>
  </si>
  <si>
    <t>延べ利用者</t>
    <rPh sb="0" eb="1">
      <t>ノベ</t>
    </rPh>
    <rPh sb="2" eb="5">
      <t>リヨウシャ</t>
    </rPh>
    <phoneticPr fontId="1"/>
  </si>
  <si>
    <t>利用者数</t>
    <rPh sb="0" eb="3">
      <t>リヨウシャ</t>
    </rPh>
    <rPh sb="3" eb="4">
      <t>スウ</t>
    </rPh>
    <phoneticPr fontId="1"/>
  </si>
  <si>
    <t>①又は②のいずれか</t>
    <rPh sb="1" eb="2">
      <t>マタ</t>
    </rPh>
    <phoneticPr fontId="1"/>
  </si>
  <si>
    <t>Ａ</t>
    <phoneticPr fontId="1"/>
  </si>
  <si>
    <t>Ｂ</t>
    <phoneticPr fontId="1"/>
  </si>
  <si>
    <t>Ａ－Ｂ</t>
    <phoneticPr fontId="1"/>
  </si>
  <si>
    <t>検索用名称</t>
    <rPh sb="0" eb="3">
      <t>ケンサクヨウ</t>
    </rPh>
    <rPh sb="3" eb="5">
      <t>メイショウ</t>
    </rPh>
    <phoneticPr fontId="1"/>
  </si>
  <si>
    <t>プルダウン用</t>
    <rPh sb="5" eb="6">
      <t>ヨウ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</si>
  <si>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</si>
  <si>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</si>
  <si>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食事提供入所</t>
    <rPh sb="0" eb="2">
      <t>ショクジ</t>
    </rPh>
    <rPh sb="2" eb="4">
      <t>テイキョウ</t>
    </rPh>
    <rPh sb="4" eb="6">
      <t>ニュウショ</t>
    </rPh>
    <phoneticPr fontId="1"/>
  </si>
  <si>
    <t>食事提供通所</t>
    <rPh sb="0" eb="2">
      <t>ショクジ</t>
    </rPh>
    <rPh sb="2" eb="4">
      <t>テイキョウ</t>
    </rPh>
    <rPh sb="4" eb="6">
      <t>ツウショ</t>
    </rPh>
    <phoneticPr fontId="1"/>
  </si>
  <si>
    <t>単価表</t>
    <rPh sb="0" eb="2">
      <t>タンカ</t>
    </rPh>
    <rPh sb="2" eb="3">
      <t>ヒョウ</t>
    </rPh>
    <phoneticPr fontId="1"/>
  </si>
  <si>
    <t>食材料費</t>
    <rPh sb="0" eb="1">
      <t>ショク</t>
    </rPh>
    <rPh sb="1" eb="4">
      <t>ザイリョウヒ</t>
    </rPh>
    <phoneticPr fontId="1"/>
  </si>
  <si>
    <t>介護老人保健施設</t>
  </si>
  <si>
    <t>介護医療院</t>
  </si>
  <si>
    <t>介護療養型医療施設</t>
  </si>
  <si>
    <t>短期入所生活介護</t>
  </si>
  <si>
    <t>短期入所療養介護</t>
  </si>
  <si>
    <t>特定施設入居者生活介護</t>
  </si>
  <si>
    <t>認知症対応型共同生活介護(ＧＨ)</t>
  </si>
  <si>
    <t>養護老人ホーム</t>
  </si>
  <si>
    <t>軽費老人ホーム</t>
  </si>
  <si>
    <t>通所介護</t>
  </si>
  <si>
    <t>通所リハビリテーション</t>
  </si>
  <si>
    <t>認知症対応型通所介護</t>
  </si>
  <si>
    <t>地域密着型通所介護</t>
  </si>
  <si>
    <t>放課後等デイサービス</t>
  </si>
  <si>
    <t>福祉ホーム</t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</si>
  <si>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</si>
  <si>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小規模作業所</t>
    <rPh sb="3" eb="6">
      <t>サギョウショ</t>
    </rPh>
    <phoneticPr fontId="1"/>
  </si>
  <si>
    <t>日中一時支援事業所</t>
    <rPh sb="0" eb="2">
      <t>ニッチュウ</t>
    </rPh>
    <rPh sb="2" eb="4">
      <t>イチジ</t>
    </rPh>
    <rPh sb="4" eb="6">
      <t>シエン</t>
    </rPh>
    <rPh sb="6" eb="9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</si>
  <si>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</si>
  <si>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</si>
  <si>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事務担当者氏名</t>
    <rPh sb="0" eb="2">
      <t>ジム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</si>
  <si>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</si>
  <si>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平均
利用者数</t>
    <rPh sb="0" eb="2">
      <t>ヘイキン</t>
    </rPh>
    <rPh sb="3" eb="7">
      <t>リヨウシャスウ</t>
    </rPh>
    <phoneticPr fontId="1"/>
  </si>
  <si>
    <t>開所
月数</t>
    <rPh sb="0" eb="2">
      <t>カイショ</t>
    </rPh>
    <rPh sb="3" eb="4">
      <t>ガツ</t>
    </rPh>
    <rPh sb="4" eb="5">
      <t>スウ</t>
    </rPh>
    <phoneticPr fontId="1"/>
  </si>
  <si>
    <t>光熱水費
基準額</t>
    <rPh sb="0" eb="4">
      <t>コウネツスイヒ</t>
    </rPh>
    <rPh sb="5" eb="7">
      <t>キジュン</t>
    </rPh>
    <rPh sb="7" eb="8">
      <t>ガク</t>
    </rPh>
    <phoneticPr fontId="1"/>
  </si>
  <si>
    <t>食材料費
基準額</t>
    <rPh sb="0" eb="1">
      <t>ショク</t>
    </rPh>
    <rPh sb="1" eb="4">
      <t>ザイリョウヒ</t>
    </rPh>
    <rPh sb="5" eb="7">
      <t>キジュン</t>
    </rPh>
    <rPh sb="7" eb="8">
      <t>ガク</t>
    </rPh>
    <phoneticPr fontId="1"/>
  </si>
  <si>
    <t>② 年間増加相当額（要綱第３条第４項による額）</t>
    <rPh sb="2" eb="4">
      <t>ネンカン</t>
    </rPh>
    <rPh sb="4" eb="6">
      <t>ゾウカ</t>
    </rPh>
    <rPh sb="6" eb="8">
      <t>ソウトウ</t>
    </rPh>
    <rPh sb="8" eb="9">
      <t>ガク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コウ</t>
    </rPh>
    <rPh sb="21" eb="22">
      <t>ガク</t>
    </rPh>
    <phoneticPr fontId="1"/>
  </si>
  <si>
    <t>令和５年度　岡山市高齢者・障害者施設等運営支援金　計算シート</t>
    <rPh sb="25" eb="27">
      <t>ケイサン</t>
    </rPh>
    <phoneticPr fontId="1"/>
  </si>
  <si>
    <t>令和3年 4月分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</si>
  <si>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 5月分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</si>
  <si>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 6月分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</si>
  <si>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 7月分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</si>
  <si>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 8月分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</si>
  <si>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 9月分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</si>
  <si>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令和3年10月分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</si>
  <si>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令和3年11月分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</si>
  <si>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令和3年12月分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</si>
  <si>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1月分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</si>
  <si>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2月分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</si>
  <si>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3月分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</si>
  <si>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4月分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</si>
  <si>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5月分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</si>
  <si>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6月分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</si>
  <si>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7月分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</si>
  <si>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8月分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</si>
  <si>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 9月分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</si>
  <si>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令和4年10月分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</si>
  <si>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令和4年11月分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</si>
  <si>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令和4年12月分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</si>
  <si>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1月分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</si>
  <si>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2月分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</si>
  <si>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3月分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</si>
  <si>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4月分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</si>
  <si>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5月分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</si>
  <si>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6月分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</si>
  <si>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7月分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</si>
  <si>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 8月分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</si>
  <si>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令和5年度4～8月計</t>
    <rPh sb="0" eb="2">
      <t>レイワ</t>
    </rPh>
    <rPh sb="3" eb="5">
      <t>ネンド</t>
    </rPh>
    <rPh sb="8" eb="9">
      <t>ツキ</t>
    </rPh>
    <rPh sb="9" eb="10">
      <t>ケイ</t>
    </rPh>
    <phoneticPr fontId="1"/>
  </si>
  <si>
    <t>令和3年度計</t>
    <rPh sb="0" eb="2">
      <t>レイワ</t>
    </rPh>
    <rPh sb="3" eb="5">
      <t>ネンド</t>
    </rPh>
    <rPh sb="5" eb="6">
      <t>ケイ</t>
    </rPh>
    <phoneticPr fontId="1"/>
  </si>
  <si>
    <t>令和4年度計</t>
    <rPh sb="0" eb="2">
      <t>レイワ</t>
    </rPh>
    <rPh sb="3" eb="5">
      <t>ネンド</t>
    </rPh>
    <rPh sb="5" eb="6">
      <t>ケイ</t>
    </rPh>
    <phoneticPr fontId="1"/>
  </si>
  <si>
    <t>入所施設1</t>
    <rPh sb="0" eb="2">
      <t>ニュウショ</t>
    </rPh>
    <rPh sb="2" eb="4">
      <t>シセツ</t>
    </rPh>
    <phoneticPr fontId="1"/>
  </si>
  <si>
    <t>[定員100人未満]</t>
    <rPh sb="1" eb="3">
      <t>テイイン</t>
    </rPh>
    <rPh sb="6" eb="7">
      <t>ヒト</t>
    </rPh>
    <rPh sb="7" eb="9">
      <t>ミマン</t>
    </rPh>
    <phoneticPr fontId="1"/>
  </si>
  <si>
    <t>[定員100人以上]</t>
    <rPh sb="1" eb="3">
      <t>テイイン</t>
    </rPh>
    <rPh sb="6" eb="7">
      <t>ヒト</t>
    </rPh>
    <rPh sb="7" eb="9">
      <t>イジョウ</t>
    </rPh>
    <phoneticPr fontId="1"/>
  </si>
  <si>
    <t>[定員200人以上]</t>
    <rPh sb="1" eb="3">
      <t>テイイン</t>
    </rPh>
    <rPh sb="6" eb="7">
      <t>ヒト</t>
    </rPh>
    <rPh sb="7" eb="9">
      <t>イジョウ</t>
    </rPh>
    <phoneticPr fontId="1"/>
  </si>
  <si>
    <t>【　県支援金　】</t>
    <rPh sb="2" eb="3">
      <t>ケン</t>
    </rPh>
    <rPh sb="3" eb="6">
      <t>シエンキン</t>
    </rPh>
    <phoneticPr fontId="1"/>
  </si>
  <si>
    <t>増加前</t>
    <rPh sb="0" eb="2">
      <t>ゾウカ</t>
    </rPh>
    <rPh sb="2" eb="3">
      <t>マエ</t>
    </rPh>
    <phoneticPr fontId="1"/>
  </si>
  <si>
    <t>施設種別</t>
    <rPh sb="0" eb="2">
      <t>シセツ</t>
    </rPh>
    <rPh sb="2" eb="4">
      <t>シュベツ</t>
    </rPh>
    <phoneticPr fontId="1"/>
  </si>
  <si>
    <t>入所1</t>
    <rPh sb="0" eb="2">
      <t>ニュウショ</t>
    </rPh>
    <phoneticPr fontId="1"/>
  </si>
  <si>
    <t>入所2、通所</t>
    <rPh sb="0" eb="2">
      <t>ニュウショ</t>
    </rPh>
    <rPh sb="4" eb="6">
      <t>ツウショ</t>
    </rPh>
    <phoneticPr fontId="1"/>
  </si>
  <si>
    <t>燃料費</t>
    <rPh sb="0" eb="3">
      <t>ネンリョウヒ</t>
    </rPh>
    <phoneticPr fontId="1"/>
  </si>
  <si>
    <t>入所2・通所</t>
    <rPh sb="0" eb="2">
      <t>ニュウショ</t>
    </rPh>
    <rPh sb="4" eb="6">
      <t>ツウショ</t>
    </rPh>
    <phoneticPr fontId="1"/>
  </si>
  <si>
    <t>令和5年度計（推計）</t>
    <rPh sb="0" eb="2">
      <t>レイワ</t>
    </rPh>
    <rPh sb="3" eb="5">
      <t>ネンド</t>
    </rPh>
    <rPh sb="5" eb="6">
      <t>ケイ</t>
    </rPh>
    <rPh sb="7" eb="9">
      <t>スイケイ</t>
    </rPh>
    <phoneticPr fontId="1"/>
  </si>
  <si>
    <t>特別養護老人ホーム(介護老人福祉施設)</t>
    <rPh sb="0" eb="2">
      <t>トクベツ</t>
    </rPh>
    <rPh sb="2" eb="4">
      <t>ヨウゴ</t>
    </rPh>
    <rPh sb="4" eb="6">
      <t>ロウジン</t>
    </rPh>
    <phoneticPr fontId="1"/>
  </si>
  <si>
    <t>小規模多機能型居宅介護(宿泊)</t>
    <rPh sb="12" eb="14">
      <t>シュクハク</t>
    </rPh>
    <phoneticPr fontId="1"/>
  </si>
  <si>
    <t>看護小規模多機能型居宅介護(宿泊)</t>
    <rPh sb="14" eb="16">
      <t>シュクハク</t>
    </rPh>
    <phoneticPr fontId="1"/>
  </si>
  <si>
    <t>小規模多機能型居宅介護(通い)</t>
    <rPh sb="12" eb="13">
      <t>カヨ</t>
    </rPh>
    <phoneticPr fontId="1"/>
  </si>
  <si>
    <t>看護小規模多機能型居宅介護(通い)</t>
    <rPh sb="14" eb="15">
      <t>カヨ</t>
    </rPh>
    <phoneticPr fontId="1"/>
  </si>
  <si>
    <t>第１号通所事業所</t>
    <rPh sb="0" eb="1">
      <t>ダイ</t>
    </rPh>
    <rPh sb="2" eb="3">
      <t>ゴウ</t>
    </rPh>
    <rPh sb="3" eb="5">
      <t>ツウショ</t>
    </rPh>
    <rPh sb="5" eb="8">
      <t>ジギョウショ</t>
    </rPh>
    <phoneticPr fontId="1"/>
  </si>
  <si>
    <t>自立訓練(生活)</t>
  </si>
  <si>
    <t>自立訓練(機能)</t>
  </si>
  <si>
    <t>児童発達支援(福祉型・医療型)</t>
  </si>
  <si>
    <t>入所施設2</t>
    <rPh sb="0" eb="2">
      <t>ニュウショ</t>
    </rPh>
    <rPh sb="2" eb="4">
      <t>シセツ</t>
    </rPh>
    <phoneticPr fontId="1"/>
  </si>
  <si>
    <t>要綱別表施設区分</t>
    <rPh sb="0" eb="2">
      <t>ヨウコウ</t>
    </rPh>
    <rPh sb="2" eb="4">
      <t>ベッピョウ</t>
    </rPh>
    <rPh sb="4" eb="6">
      <t>シセツ</t>
    </rPh>
    <rPh sb="6" eb="8">
      <t>クブン</t>
    </rPh>
    <phoneticPr fontId="1"/>
  </si>
  <si>
    <t>入所施設</t>
  </si>
  <si>
    <t>入所施設</t>
    <rPh sb="0" eb="2">
      <t>ニュウショ</t>
    </rPh>
    <rPh sb="2" eb="4">
      <t>シセツ</t>
    </rPh>
    <phoneticPr fontId="1"/>
  </si>
  <si>
    <t>入所施設1</t>
    <phoneticPr fontId="1"/>
  </si>
  <si>
    <t>入所施設2</t>
    <phoneticPr fontId="1"/>
  </si>
  <si>
    <t>入所施設2</t>
    <phoneticPr fontId="1"/>
  </si>
  <si>
    <t>　※計算シート別紙に各費用の金額（税抜金額）を入力してください。</t>
    <rPh sb="2" eb="4">
      <t>ケイサン</t>
    </rPh>
    <rPh sb="7" eb="9">
      <t>ベッシ</t>
    </rPh>
    <rPh sb="10" eb="13">
      <t>カクヒヨウ</t>
    </rPh>
    <rPh sb="14" eb="16">
      <t>キンガク</t>
    </rPh>
    <rPh sb="17" eb="18">
      <t>ゼイ</t>
    </rPh>
    <rPh sb="18" eb="19">
      <t>ヌ</t>
    </rPh>
    <rPh sb="19" eb="21">
      <t>キンガク</t>
    </rPh>
    <rPh sb="23" eb="25">
      <t>ニュウリョク</t>
    </rPh>
    <phoneticPr fontId="1"/>
  </si>
  <si>
    <t>食事回数</t>
    <rPh sb="0" eb="2">
      <t>ショクジ</t>
    </rPh>
    <rPh sb="2" eb="4">
      <t>カイスウ</t>
    </rPh>
    <phoneticPr fontId="1"/>
  </si>
  <si>
    <t>令和3年度計 直接入力</t>
    <rPh sb="0" eb="2">
      <t>レイワ</t>
    </rPh>
    <rPh sb="3" eb="5">
      <t>ネンド</t>
    </rPh>
    <rPh sb="5" eb="6">
      <t>ケイ</t>
    </rPh>
    <rPh sb="7" eb="9">
      <t>チョクセツ</t>
    </rPh>
    <rPh sb="9" eb="11">
      <t>ニュウリョク</t>
    </rPh>
    <phoneticPr fontId="1"/>
  </si>
  <si>
    <t>令和4年度計 直接入力</t>
    <rPh sb="0" eb="2">
      <t>レイワ</t>
    </rPh>
    <rPh sb="3" eb="5">
      <t>ネンド</t>
    </rPh>
    <rPh sb="5" eb="6">
      <t>ケイ</t>
    </rPh>
    <rPh sb="7" eb="9">
      <t>チョクセツ</t>
    </rPh>
    <rPh sb="9" eb="11">
      <t>ニュウリョク</t>
    </rPh>
    <phoneticPr fontId="1"/>
  </si>
  <si>
    <t>3回</t>
  </si>
  <si>
    <t>3回</t>
    <rPh sb="1" eb="2">
      <t>カイ</t>
    </rPh>
    <phoneticPr fontId="1"/>
  </si>
  <si>
    <t>2回</t>
    <rPh sb="1" eb="2">
      <t>カイ</t>
    </rPh>
    <phoneticPr fontId="1"/>
  </si>
  <si>
    <t>3回</t>
    <phoneticPr fontId="1"/>
  </si>
  <si>
    <t>令和5年 9月分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</si>
  <si>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令和5年10月分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</si>
  <si>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令和5年11月分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</si>
  <si>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光熱水費</t>
    <rPh sb="0" eb="4">
      <t>コウネツスイヒ</t>
    </rPh>
    <phoneticPr fontId="1"/>
  </si>
  <si>
    <t>燃料費</t>
    <rPh sb="0" eb="3">
      <t>ネンリョウヒ</t>
    </rPh>
    <phoneticPr fontId="1"/>
  </si>
  <si>
    <t>食材料費</t>
    <rPh sb="0" eb="1">
      <t>ショク</t>
    </rPh>
    <rPh sb="1" eb="4">
      <t>ザイリョウヒ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</si>
  <si>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</si>
  <si>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</si>
  <si>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合計</t>
    <rPh sb="0" eb="2">
      <t>ゴウケイ</t>
    </rPh>
    <phoneticPr fontId="1"/>
  </si>
  <si>
    <t>R5.3.2～R5.10.1開始事業所の計算用</t>
    <rPh sb="14" eb="16">
      <t>カイシ</t>
    </rPh>
    <rPh sb="16" eb="19">
      <t>ジギョウショ</t>
    </rPh>
    <rPh sb="20" eb="23">
      <t>ケイサンヨウ</t>
    </rPh>
    <phoneticPr fontId="1"/>
  </si>
  <si>
    <t>該当月</t>
    <rPh sb="0" eb="2">
      <t>ガイトウ</t>
    </rPh>
    <rPh sb="2" eb="3">
      <t>ツキ</t>
    </rPh>
    <phoneticPr fontId="1"/>
  </si>
  <si>
    <t>月額ではなく、年度合計を緑色セルに入力しても構いません。</t>
    <rPh sb="0" eb="2">
      <t>ゲツガク</t>
    </rPh>
    <rPh sb="7" eb="9">
      <t>ネンド</t>
    </rPh>
    <rPh sb="9" eb="11">
      <t>ゴウケイ</t>
    </rPh>
    <rPh sb="12" eb="14">
      <t>ミドリイロ</t>
    </rPh>
    <rPh sb="17" eb="19">
      <t>ニュウリョク</t>
    </rPh>
    <rPh sb="22" eb="23">
      <t>カマ</t>
    </rPh>
    <phoneticPr fontId="1"/>
  </si>
  <si>
    <t>黄色セルに、光熱水費、燃料費、食材料費それぞれの月額を入力してください。</t>
    <rPh sb="0" eb="2">
      <t>キイロ</t>
    </rPh>
    <rPh sb="6" eb="10">
      <t>コウネツスイヒ</t>
    </rPh>
    <rPh sb="11" eb="14">
      <t>ネンリョウヒ</t>
    </rPh>
    <rPh sb="15" eb="16">
      <t>ショク</t>
    </rPh>
    <rPh sb="16" eb="19">
      <t>ザイリョウヒ</t>
    </rPh>
    <rPh sb="24" eb="26">
      <t>ゲツガク</t>
    </rPh>
    <rPh sb="27" eb="29">
      <t>ニュウリョク</t>
    </rPh>
    <phoneticPr fontId="1"/>
  </si>
  <si>
    <t>③ 岡山県支援金相当額（岡山県医療・福祉施設等物価高騰対策支援金交付要綱による額）</t>
    <rPh sb="2" eb="4">
      <t>オカヤマ</t>
    </rPh>
    <rPh sb="4" eb="8">
      <t>ケンシエンキン</t>
    </rPh>
    <rPh sb="8" eb="10">
      <t>ソウトウ</t>
    </rPh>
    <rPh sb="10" eb="11">
      <t>ガク</t>
    </rPh>
    <rPh sb="39" eb="40">
      <t>ガク</t>
    </rPh>
    <phoneticPr fontId="1"/>
  </si>
  <si>
    <t>③県支援金相当額</t>
    <rPh sb="1" eb="2">
      <t>ケン</t>
    </rPh>
    <rPh sb="2" eb="4">
      <t>シエン</t>
    </rPh>
    <rPh sb="5" eb="7">
      <t>ソウトウ</t>
    </rPh>
    <rPh sb="7" eb="8">
      <t>ガク</t>
    </rPh>
    <phoneticPr fontId="1"/>
  </si>
  <si>
    <t>低い方の金額</t>
    <rPh sb="0" eb="1">
      <t>ヒク</t>
    </rPh>
    <rPh sb="2" eb="3">
      <t>ホウ</t>
    </rPh>
    <rPh sb="4" eb="6">
      <t>キンガク</t>
    </rPh>
    <phoneticPr fontId="1"/>
  </si>
  <si>
    <t>③県支援金相当額</t>
    <rPh sb="1" eb="2">
      <t>ケン</t>
    </rPh>
    <rPh sb="2" eb="5">
      <t>シエンキン</t>
    </rPh>
    <rPh sb="5" eb="7">
      <t>ソウトウ</t>
    </rPh>
    <rPh sb="7" eb="8">
      <t>ガク</t>
    </rPh>
    <phoneticPr fontId="1"/>
  </si>
  <si>
    <t>① 岡山市支援金額（要綱第３条による額。ただし、以下②、③を考慮する前のもの）</t>
    <rPh sb="2" eb="5">
      <t>オカヤマシ</t>
    </rPh>
    <rPh sb="5" eb="7">
      <t>シエン</t>
    </rPh>
    <rPh sb="7" eb="9">
      <t>キンガク</t>
    </rPh>
    <rPh sb="10" eb="12">
      <t>ヨウコウ</t>
    </rPh>
    <rPh sb="12" eb="13">
      <t>ダイ</t>
    </rPh>
    <rPh sb="14" eb="15">
      <t>ジョウ</t>
    </rPh>
    <rPh sb="18" eb="19">
      <t>ガク</t>
    </rPh>
    <rPh sb="24" eb="26">
      <t>イカ</t>
    </rPh>
    <rPh sb="30" eb="32">
      <t>コウリョ</t>
    </rPh>
    <rPh sb="34" eb="35">
      <t>マエ</t>
    </rPh>
    <phoneticPr fontId="1"/>
  </si>
  <si>
    <t>（計算シート別紙）年間増加相当額計算</t>
    <rPh sb="1" eb="3">
      <t>ケイサン</t>
    </rPh>
    <rPh sb="6" eb="8">
      <t>ベッシ</t>
    </rPh>
    <phoneticPr fontId="1"/>
  </si>
  <si>
    <t>【交付請求額】</t>
    <rPh sb="1" eb="5">
      <t>コウフセイキュウ</t>
    </rPh>
    <rPh sb="5" eb="6">
      <t>ガク</t>
    </rPh>
    <phoneticPr fontId="1"/>
  </si>
  <si>
    <t>①市支援金額</t>
    <rPh sb="1" eb="2">
      <t>シ</t>
    </rPh>
    <rPh sb="2" eb="6">
      <t>シエンキンガク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</si>
</sst>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ggge&quot;年&quot;m&quot;月&quot;d&quot;日&quot;"/>
    <numFmt numFmtId="178" formatCode="#,##0;[Red]&quot;△&quot;#,##0;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76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23" xfId="1" applyFont="1" applyFill="1" applyBorder="1">
      <alignment vertical="center"/>
    </xf>
    <xf numFmtId="38" fontId="4" fillId="0" borderId="20" xfId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2" xfId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>
      <alignment vertical="center"/>
    </xf>
    <xf numFmtId="38" fontId="4" fillId="0" borderId="0" xfId="1" applyFont="1">
      <alignment vertical="center"/>
    </xf>
    <xf numFmtId="38" fontId="4" fillId="0" borderId="1" xfId="1" applyFont="1" applyFill="1" applyBorder="1" applyProtection="1">
      <alignment vertical="center"/>
      <protection locked="0"/>
    </xf>
    <xf numFmtId="38" fontId="4" fillId="0" borderId="3" xfId="1" applyFont="1" applyFill="1" applyBorder="1" applyProtection="1">
      <alignment vertical="center"/>
      <protection locked="0"/>
    </xf>
    <xf numFmtId="38" fontId="4" fillId="5" borderId="23" xfId="1" applyFont="1" applyFill="1" applyBorder="1" applyProtection="1">
      <alignment vertical="center"/>
      <protection locked="0"/>
    </xf>
    <xf numFmtId="38" fontId="4" fillId="0" borderId="2" xfId="1" applyFont="1" applyFill="1" applyBorder="1" applyProtection="1">
      <alignment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Protection="1">
      <alignment vertical="center"/>
      <protection locked="0"/>
    </xf>
    <xf numFmtId="176" fontId="11" fillId="0" borderId="0" xfId="0" applyNumberFormat="1" applyFont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 applyProtection="1">
      <alignment horizontal="center" vertical="center"/>
      <protection locked="0"/>
    </xf>
    <xf numFmtId="176" fontId="4" fillId="4" borderId="5" xfId="0" applyNumberFormat="1" applyFont="1" applyFill="1" applyBorder="1" applyAlignment="1" applyProtection="1">
      <alignment horizontal="center" vertical="center"/>
      <protection locked="0"/>
    </xf>
    <xf numFmtId="176" fontId="4" fillId="4" borderId="6" xfId="0" applyNumberFormat="1" applyFont="1" applyFill="1" applyBorder="1" applyAlignment="1" applyProtection="1">
      <alignment horizontal="center" vertical="center"/>
      <protection locked="0"/>
    </xf>
    <xf numFmtId="176" fontId="5" fillId="3" borderId="4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4" fillId="4" borderId="4" xfId="0" applyNumberFormat="1" applyFont="1" applyFill="1" applyBorder="1" applyAlignment="1" applyProtection="1">
      <alignment horizontal="center" vertical="center"/>
      <protection locked="0"/>
    </xf>
    <xf numFmtId="177" fontId="4" fillId="4" borderId="5" xfId="0" applyNumberFormat="1" applyFont="1" applyFill="1" applyBorder="1" applyAlignment="1" applyProtection="1">
      <alignment horizontal="center" vertical="center"/>
      <protection locked="0"/>
    </xf>
    <xf numFmtId="177" fontId="4" fillId="4" borderId="6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176" fontId="5" fillId="3" borderId="14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176" fontId="5" fillId="3" borderId="15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/>
    </xf>
    <xf numFmtId="176" fontId="7" fillId="3" borderId="17" xfId="0" applyNumberFormat="1" applyFont="1" applyFill="1" applyBorder="1" applyAlignment="1">
      <alignment horizontal="center" vertical="center"/>
    </xf>
    <xf numFmtId="176" fontId="7" fillId="3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66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56"/>
  <sheetViews>
    <sheetView showGridLines="0" showRowColHeaders="0" tabSelected="1" zoomScaleNormal="100" workbookViewId="0">
      <selection activeCell="B4" sqref="B4:C4"/>
    </sheetView>
  </sheetViews>
  <sheetFormatPr defaultColWidth="9.375" defaultRowHeight="18.75" customHeight="1" x14ac:dyDescent="0.4"/>
  <cols>
    <col min="1" max="1" width="1.125" style="8" customWidth="1"/>
    <col min="2" max="11" width="8.625" style="8" customWidth="1"/>
    <col min="12" max="13" width="9.375" style="8"/>
    <col min="14" max="14" width="11.625" style="8" bestFit="1" customWidth="1"/>
    <col min="15" max="16384" width="9.375" style="8"/>
  </cols>
  <sheetData>
    <row r="1" spans="2:12" ht="26.25" customHeight="1" x14ac:dyDescent="0.4">
      <c r="B1" s="74" t="s">
        <v>74</v>
      </c>
      <c r="C1" s="74"/>
      <c r="D1" s="74"/>
      <c r="E1" s="74"/>
      <c r="F1" s="74"/>
      <c r="G1" s="74"/>
      <c r="H1" s="74"/>
      <c r="I1" s="74"/>
      <c r="J1" s="74"/>
      <c r="K1" s="74"/>
    </row>
    <row r="2" spans="2:12" ht="16.5" customHeight="1" x14ac:dyDescent="0.4">
      <c r="B2" s="9"/>
      <c r="C2" s="15"/>
      <c r="D2" s="15"/>
      <c r="E2" s="15"/>
      <c r="L2" s="22"/>
    </row>
    <row r="3" spans="2:12" ht="18.75" customHeight="1" x14ac:dyDescent="0.4">
      <c r="B3" s="78" t="s">
        <v>65</v>
      </c>
      <c r="C3" s="78"/>
      <c r="D3" s="65" t="s">
        <v>31</v>
      </c>
      <c r="E3" s="66"/>
      <c r="F3" s="66"/>
      <c r="G3" s="66"/>
      <c r="H3" s="66"/>
      <c r="I3" s="66"/>
      <c r="J3" s="66"/>
      <c r="K3" s="16" t="s">
        <v>32</v>
      </c>
      <c r="L3" s="23"/>
    </row>
    <row r="4" spans="2:12" ht="18.75" customHeight="1" x14ac:dyDescent="0.4">
      <c r="B4" s="79"/>
      <c r="C4" s="79"/>
      <c r="D4" s="68"/>
      <c r="E4" s="69"/>
      <c r="F4" s="69"/>
      <c r="G4" s="69"/>
      <c r="H4" s="69"/>
      <c r="I4" s="69"/>
      <c r="J4" s="69"/>
      <c r="K4" s="50"/>
      <c r="L4" s="24"/>
    </row>
    <row r="5" spans="2:12" ht="18.75" customHeight="1" x14ac:dyDescent="0.4">
      <c r="B5" s="9"/>
      <c r="C5" s="15"/>
      <c r="D5" s="15"/>
      <c r="E5" s="15"/>
      <c r="L5" s="22"/>
    </row>
    <row r="6" spans="2:12" ht="18.75" customHeight="1" x14ac:dyDescent="0.4">
      <c r="B6" s="78" t="s">
        <v>30</v>
      </c>
      <c r="C6" s="78"/>
      <c r="D6" s="78" t="s">
        <v>8</v>
      </c>
      <c r="E6" s="78"/>
      <c r="F6" s="78" t="s">
        <v>9</v>
      </c>
      <c r="G6" s="78"/>
      <c r="H6" s="78"/>
      <c r="I6" s="78"/>
      <c r="J6" s="78"/>
      <c r="K6" s="16" t="str">
        <f>IF(D7="入所施設","---","食事提供")</f>
        <v>食事提供</v>
      </c>
    </row>
    <row r="7" spans="2:12" ht="18.75" customHeight="1" x14ac:dyDescent="0.4">
      <c r="B7" s="80"/>
      <c r="C7" s="80"/>
      <c r="D7" s="80"/>
      <c r="E7" s="80"/>
      <c r="F7" s="80"/>
      <c r="G7" s="80"/>
      <c r="H7" s="80"/>
      <c r="I7" s="80"/>
      <c r="J7" s="80"/>
      <c r="K7" s="51"/>
    </row>
    <row r="8" spans="2:12" ht="18.75" customHeight="1" x14ac:dyDescent="0.4">
      <c r="B8" s="9"/>
      <c r="C8" s="15"/>
      <c r="D8" s="15"/>
      <c r="E8" s="15"/>
      <c r="F8" s="54" t="str">
        <f>IF(AND(B7&lt;&gt;"",D7&lt;&gt;"",F7&lt;&gt;"",COUNTIF(単価表!D:D,B7&amp;D7&amp;F7)=0),"組み合わせ誤り！！！","")</f>
        <v/>
      </c>
      <c r="G8" s="54"/>
      <c r="H8" s="54"/>
      <c r="I8" s="54"/>
      <c r="J8" s="54"/>
    </row>
    <row r="9" spans="2:12" ht="18.75" customHeight="1" x14ac:dyDescent="0.4">
      <c r="B9" s="65" t="s">
        <v>66</v>
      </c>
      <c r="C9" s="66"/>
      <c r="D9" s="67"/>
      <c r="E9" s="65" t="s">
        <v>67</v>
      </c>
      <c r="F9" s="66"/>
      <c r="G9" s="66"/>
      <c r="H9" s="67"/>
      <c r="I9" s="65" t="s">
        <v>68</v>
      </c>
      <c r="J9" s="66"/>
      <c r="K9" s="67"/>
    </row>
    <row r="10" spans="2:12" ht="18.75" customHeight="1" x14ac:dyDescent="0.4">
      <c r="B10" s="75"/>
      <c r="C10" s="76"/>
      <c r="D10" s="77"/>
      <c r="E10" s="68"/>
      <c r="F10" s="69"/>
      <c r="G10" s="69"/>
      <c r="H10" s="70"/>
      <c r="I10" s="68"/>
      <c r="J10" s="69"/>
      <c r="K10" s="70"/>
    </row>
    <row r="11" spans="2:12" ht="18.75" customHeight="1" x14ac:dyDescent="0.4">
      <c r="B11" s="21"/>
      <c r="C11" s="21"/>
      <c r="D11" s="21"/>
      <c r="E11" s="21"/>
      <c r="F11" s="21"/>
      <c r="G11" s="21"/>
      <c r="H11" s="21"/>
      <c r="I11" s="21"/>
      <c r="J11" s="21"/>
      <c r="K11" s="15"/>
    </row>
    <row r="12" spans="2:12" ht="18.75" customHeight="1" x14ac:dyDescent="0.4">
      <c r="B12" s="65" t="s">
        <v>34</v>
      </c>
      <c r="C12" s="67"/>
      <c r="D12" s="16" t="str">
        <f>IF(開始日&gt;=DATE(2023,5,1),"---","4月")</f>
        <v>4月</v>
      </c>
      <c r="E12" s="16" t="str">
        <f>IF(開始日&gt;=DATE(2023,6,1),"---","5月")</f>
        <v>5月</v>
      </c>
      <c r="F12" s="16" t="str">
        <f>IF(開始日&gt;=DATE(2023,7,1),"---","6月")</f>
        <v>6月</v>
      </c>
      <c r="G12" s="16" t="str">
        <f>IF(開始日&gt;=DATE(2023,8,1),"---","7月")</f>
        <v>7月</v>
      </c>
      <c r="H12" s="16" t="str">
        <f>IF(開始日&gt;=DATE(2023,9,1),"---","8月")</f>
        <v>8月</v>
      </c>
      <c r="I12" s="16" t="str">
        <f>IF(開始日=DATE(2023,10,1),"10月","9月")</f>
        <v>9月</v>
      </c>
      <c r="J12" s="65" t="s">
        <v>1</v>
      </c>
      <c r="K12" s="67"/>
    </row>
    <row r="13" spans="2:12" ht="18.75" customHeight="1" x14ac:dyDescent="0.4">
      <c r="B13" s="55" t="s">
        <v>0</v>
      </c>
      <c r="C13" s="56"/>
      <c r="D13" s="52"/>
      <c r="E13" s="52"/>
      <c r="F13" s="52"/>
      <c r="G13" s="52"/>
      <c r="H13" s="52"/>
      <c r="I13" s="52"/>
      <c r="J13" s="57">
        <f ca="1">SUMIF(D12:I13,"*月",D13:I13)</f>
        <v>0</v>
      </c>
      <c r="K13" s="58"/>
    </row>
    <row r="14" spans="2:12" ht="18.75" customHeight="1" x14ac:dyDescent="0.4">
      <c r="B14" s="55" t="s">
        <v>33</v>
      </c>
      <c r="C14" s="56"/>
      <c r="D14" s="52"/>
      <c r="E14" s="52"/>
      <c r="F14" s="52"/>
      <c r="G14" s="52"/>
      <c r="H14" s="52"/>
      <c r="I14" s="52"/>
      <c r="J14" s="57">
        <f ca="1">SUMIF(D12:I13,"*月",D14:I14)</f>
        <v>0</v>
      </c>
      <c r="K14" s="58"/>
    </row>
    <row r="15" spans="2:12" ht="18.75" customHeight="1" x14ac:dyDescent="0.4">
      <c r="D15" s="53" t="str">
        <f>IF(AND(D12="---",SUM(D13:D14)&gt;0),"入力不要",IF(D13&gt;30,"日数エラー",IF($K$4&gt;0,IF(D14&gt;D13*$K$4,"定員超",""),"")))</f>
        <v/>
      </c>
      <c r="E15" s="53" t="str">
        <f>IF(AND(E12="---",SUM(E13:E14)&gt;0),"入力不要",IF(E13&gt;31,"日数エラー",IF($K$4&gt;0,IF(E14&gt;E13*$K$4,"定員超",""),"")))</f>
        <v/>
      </c>
      <c r="F15" s="53" t="str">
        <f t="shared" ref="F15" si="0">IF(AND(F12="---",SUM(F13:F14)&gt;0),"入力不要",IF(F13&gt;30,"日数エラー",IF($K$4&gt;0,IF(F14&gt;F13*$K$4,"定員超",""),"")))</f>
        <v/>
      </c>
      <c r="G15" s="53" t="str">
        <f>IF(AND(G12="---",SUM(G13:G14)&gt;0),"入力不要",IF(G13&gt;31,"日数エラー",IF($K$4&gt;0,IF(G14&gt;G13*$K$4,"定員超",""),"")))</f>
        <v/>
      </c>
      <c r="H15" s="53" t="str">
        <f>IF(AND(H12="---",SUM(H13:H14)&gt;0),"入力不要",IF(H13&gt;31,"日数エラー",IF($K$4&gt;0,IF(H14&gt;H13*$K$4,"定員超",""),"")))</f>
        <v/>
      </c>
      <c r="I15" s="53" t="str">
        <f>IF(OR(AND(I12="9月",I13&gt;30),AND(I12="10月",I13&gt;31)),"日数エラー",IF($K$4&gt;0,IF(I14&gt;I13*$K$4,"定員超",""),""))</f>
        <v/>
      </c>
    </row>
    <row r="17" spans="2:11" ht="18.75" customHeight="1" x14ac:dyDescent="0.4">
      <c r="B17" s="12" t="s">
        <v>160</v>
      </c>
    </row>
    <row r="18" spans="2:11" ht="38.25" customHeight="1" x14ac:dyDescent="0.4">
      <c r="B18" s="71" t="s">
        <v>69</v>
      </c>
      <c r="C18" s="84"/>
      <c r="D18" s="71" t="s">
        <v>71</v>
      </c>
      <c r="E18" s="84"/>
      <c r="F18" s="71" t="s">
        <v>72</v>
      </c>
      <c r="G18" s="67"/>
      <c r="H18" s="71" t="s">
        <v>70</v>
      </c>
      <c r="I18" s="84"/>
      <c r="J18" s="65" t="s">
        <v>163</v>
      </c>
      <c r="K18" s="67"/>
    </row>
    <row r="19" spans="2:11" ht="18.75" customHeight="1" x14ac:dyDescent="0.4">
      <c r="B19" s="57">
        <f ca="1">IF(J14=0,0,MIN(K4,INT(J14/J13)))</f>
        <v>0</v>
      </c>
      <c r="C19" s="58"/>
      <c r="D19" s="57">
        <f ca="1">IF(J14=0,0,1400)</f>
        <v>0</v>
      </c>
      <c r="E19" s="58"/>
      <c r="F19" s="60">
        <f ca="1">IFERROR(IF(J14=0,0,INT(VLOOKUP(B7&amp;D7&amp;F7,単価表,2,0)*IF(D7="入所施設",1,IF(K7="無し",0,1)))),0)</f>
        <v>0</v>
      </c>
      <c r="G19" s="60"/>
      <c r="H19" s="57">
        <f ca="1">IF(J14=0,0,MIN(12,DATEDIF(開始日,DATE(2024,4,1),"m")))</f>
        <v>0</v>
      </c>
      <c r="I19" s="58"/>
      <c r="J19" s="57">
        <f ca="1">IFERROR(IF(D7="通所施設",INT(B19*(D19+F19)*H19*1/3),INT((B19*D19*H19)+(B19*F19*H19)*IF(VLOOKUP(B7&amp;D7&amp;F7,単価表,4,0)="2回",2/3,1))),0)</f>
        <v>0</v>
      </c>
      <c r="K19" s="58"/>
    </row>
    <row r="20" spans="2:11" ht="18.75" customHeight="1" x14ac:dyDescent="0.4">
      <c r="C20" s="18"/>
      <c r="D20" s="18"/>
      <c r="E20" s="18"/>
      <c r="F20" s="18"/>
      <c r="G20" s="18"/>
      <c r="H20" s="18"/>
      <c r="I20" s="18"/>
      <c r="J20" s="18"/>
      <c r="K20" s="43"/>
    </row>
    <row r="21" spans="2:11" ht="18.75" customHeight="1" x14ac:dyDescent="0.4">
      <c r="B21" s="12" t="s">
        <v>73</v>
      </c>
    </row>
    <row r="22" spans="2:11" ht="18.75" customHeight="1" x14ac:dyDescent="0.4">
      <c r="B22" s="20" t="s">
        <v>135</v>
      </c>
    </row>
    <row r="23" spans="2:11" ht="18.75" customHeight="1" x14ac:dyDescent="0.4">
      <c r="D23" s="61"/>
      <c r="E23" s="62"/>
      <c r="F23" s="72" t="s">
        <v>112</v>
      </c>
      <c r="G23" s="73"/>
      <c r="H23" s="81" t="str">
        <f>IF(開始日&lt;DATE(2023,3,2),"令和5年度","増加後")</f>
        <v>令和5年度</v>
      </c>
      <c r="I23" s="82"/>
      <c r="J23" s="72" t="s">
        <v>6</v>
      </c>
      <c r="K23" s="73"/>
    </row>
    <row r="24" spans="2:11" ht="18.75" customHeight="1" x14ac:dyDescent="0.4">
      <c r="D24" s="63"/>
      <c r="E24" s="64"/>
      <c r="F24" s="59" t="str">
        <f>IFERROR(IF(開始日&lt;DATE(2023,3,2),"",TEXT(計算シート別紙!Q45,"(ggge年m月)")),"")</f>
        <v/>
      </c>
      <c r="G24" s="59"/>
      <c r="H24" s="85" t="str">
        <f>IF(開始日&lt;DATE(2023,3,2),"（推計）",TEXT(計算シート別紙!Q38,"(ggge年m月)"))</f>
        <v>（推計）</v>
      </c>
      <c r="I24" s="86"/>
      <c r="J24" s="87"/>
      <c r="K24" s="88"/>
    </row>
    <row r="25" spans="2:11" ht="18.75" customHeight="1" x14ac:dyDescent="0.4">
      <c r="D25" s="55" t="s">
        <v>3</v>
      </c>
      <c r="E25" s="56"/>
      <c r="F25" s="60">
        <f ca="1">IF(J14=0,0,IF(開始日&gt;=DATE(2023,3,2),計算シート別紙!Q42,IF(計算シート別紙!Q6="入所施設1",計算シート別紙!P11,計算シート別紙!P17)))</f>
        <v>0</v>
      </c>
      <c r="G25" s="60"/>
      <c r="H25" s="57">
        <f ca="1">IF(J14=0,0,IF(開始日&gt;=DATE(2023,3,2),計算シート別紙!Q35,計算シート別紙!C44))</f>
        <v>0</v>
      </c>
      <c r="I25" s="58"/>
      <c r="J25" s="83">
        <f ca="1">(H25-F25)*IF(開始日&gt;=DATE(2023,3,2),$H$19,1)</f>
        <v>0</v>
      </c>
      <c r="K25" s="83"/>
    </row>
    <row r="26" spans="2:11" ht="18.75" customHeight="1" x14ac:dyDescent="0.4">
      <c r="D26" s="55" t="s">
        <v>5</v>
      </c>
      <c r="E26" s="56"/>
      <c r="F26" s="60">
        <f ca="1">IF(J14=0,0,IF(開始日&gt;=DATE(2023,3,2),計算シート別紙!Q43,IF(計算シート別紙!Q6="入所施設1",計算シート別紙!Q11,計算シート別紙!Q17)))</f>
        <v>0</v>
      </c>
      <c r="G26" s="60"/>
      <c r="H26" s="57">
        <f ca="1">IF(J14=0,0,IF(開始日&gt;=DATE(2023,3,2),計算シート別紙!Q36,計算シート別紙!D44))</f>
        <v>0</v>
      </c>
      <c r="I26" s="58"/>
      <c r="J26" s="83">
        <f ca="1">(H26-F26)*IF(開始日&gt;=DATE(2023,3,2),$H$19,1)</f>
        <v>0</v>
      </c>
      <c r="K26" s="83">
        <f>(I26-G26)*IF(開始日&gt;=DATE(2023,3,2),$H$19,1)</f>
        <v>0</v>
      </c>
    </row>
    <row r="27" spans="2:11" ht="18.75" customHeight="1" x14ac:dyDescent="0.4">
      <c r="D27" s="55" t="s">
        <v>4</v>
      </c>
      <c r="E27" s="56"/>
      <c r="F27" s="60">
        <f ca="1">IF(J14=0,0,IF(開始日&gt;=DATE(2023,3,2),計算シート別紙!Q44,IF(計算シート別紙!Q6="入所施設1",計算シート別紙!R11,計算シート別紙!R17)))</f>
        <v>0</v>
      </c>
      <c r="G27" s="60"/>
      <c r="H27" s="57">
        <f ca="1">IF(J14=0,0,IF(開始日&gt;=DATE(2023,3,2),計算シート別紙!Q37,計算シート別紙!E44))</f>
        <v>0</v>
      </c>
      <c r="I27" s="58"/>
      <c r="J27" s="83">
        <f ca="1">(H27-F27)*IF(開始日&gt;=DATE(2023,3,2),$H$19,1)</f>
        <v>0</v>
      </c>
      <c r="K27" s="83">
        <f>(I27-G27)*IF(開始日&gt;=DATE(2023,3,2),$H$19,1)</f>
        <v>0</v>
      </c>
    </row>
    <row r="28" spans="2:11" ht="18.75" customHeight="1" x14ac:dyDescent="0.4">
      <c r="D28" s="55" t="s">
        <v>1</v>
      </c>
      <c r="E28" s="56"/>
      <c r="F28" s="60">
        <f ca="1">SUM(F25:G27)</f>
        <v>0</v>
      </c>
      <c r="G28" s="60"/>
      <c r="H28" s="57">
        <f ca="1">SUM(H25:I27)</f>
        <v>0</v>
      </c>
      <c r="I28" s="58"/>
      <c r="J28" s="60">
        <f ca="1">SUM(J25:K27)</f>
        <v>0</v>
      </c>
      <c r="K28" s="60"/>
    </row>
    <row r="29" spans="2:11" ht="18.75" customHeight="1" x14ac:dyDescent="0.4">
      <c r="C29" s="19"/>
    </row>
    <row r="30" spans="2:11" ht="18.75" customHeight="1" x14ac:dyDescent="0.4">
      <c r="B30" s="12" t="s">
        <v>156</v>
      </c>
    </row>
    <row r="31" spans="2:11" ht="18.75" customHeight="1" x14ac:dyDescent="0.4">
      <c r="F31" s="78" t="s">
        <v>2</v>
      </c>
      <c r="G31" s="78"/>
      <c r="H31" s="65" t="s">
        <v>12</v>
      </c>
      <c r="I31" s="67"/>
      <c r="J31" s="91" t="s">
        <v>157</v>
      </c>
      <c r="K31" s="92"/>
    </row>
    <row r="32" spans="2:11" ht="18.75" customHeight="1" x14ac:dyDescent="0.4">
      <c r="F32" s="60">
        <f>IFERROR(IF(開始日&gt;DATE(2023,6,1),0,VLOOKUP(B7&amp;D7&amp;F7,単価表,IF(K4&gt;=200,9,IF(K4&gt;=100,7,5)),0)),0)</f>
        <v>0</v>
      </c>
      <c r="G32" s="60"/>
      <c r="H32" s="57">
        <f>IFERROR(IF(開始日&gt;DATE(2023,6,1),0,VLOOKUP(B7&amp;D7&amp;F7,単価表,IF(K4&gt;=200,10,IF(K4&gt;=100,8,6)),0)*K4),0)</f>
        <v>0</v>
      </c>
      <c r="I32" s="58"/>
      <c r="J32" s="60">
        <f>F32+H32</f>
        <v>0</v>
      </c>
      <c r="K32" s="60"/>
    </row>
    <row r="34" spans="2:11" ht="18.75" customHeight="1" thickBot="1" x14ac:dyDescent="0.45"/>
    <row r="35" spans="2:11" ht="18.75" customHeight="1" x14ac:dyDescent="0.4">
      <c r="B35" s="12" t="s">
        <v>162</v>
      </c>
      <c r="F35" s="72" t="s">
        <v>36</v>
      </c>
      <c r="G35" s="72"/>
      <c r="H35" s="81" t="s">
        <v>37</v>
      </c>
      <c r="I35" s="97"/>
      <c r="J35" s="95" t="s">
        <v>38</v>
      </c>
      <c r="K35" s="96"/>
    </row>
    <row r="36" spans="2:11" ht="18.75" customHeight="1" x14ac:dyDescent="0.4">
      <c r="B36" s="104" t="str">
        <f>IF(J32=0,"","※岡山県支援金相当額については
　岡山県からの支援金給付の有無
　に関わらず控除します。")</f>
        <v/>
      </c>
      <c r="C36" s="105"/>
      <c r="D36" s="105"/>
      <c r="E36" s="106"/>
      <c r="F36" s="93" t="s">
        <v>35</v>
      </c>
      <c r="G36" s="94"/>
      <c r="H36" s="99" t="s">
        <v>159</v>
      </c>
      <c r="I36" s="100"/>
      <c r="J36" s="107" t="s">
        <v>7</v>
      </c>
      <c r="K36" s="108"/>
    </row>
    <row r="37" spans="2:11" ht="18.75" customHeight="1" thickBot="1" x14ac:dyDescent="0.45">
      <c r="B37" s="105"/>
      <c r="C37" s="105"/>
      <c r="D37" s="105"/>
      <c r="E37" s="106"/>
      <c r="F37" s="102" t="s">
        <v>158</v>
      </c>
      <c r="G37" s="103"/>
      <c r="H37" s="85"/>
      <c r="I37" s="101"/>
      <c r="J37" s="109"/>
      <c r="K37" s="110"/>
    </row>
    <row r="38" spans="2:11" ht="29.25" customHeight="1" thickBot="1" x14ac:dyDescent="0.45">
      <c r="B38" s="105"/>
      <c r="C38" s="105"/>
      <c r="D38" s="105"/>
      <c r="E38" s="106"/>
      <c r="F38" s="60">
        <f ca="1">MIN(J19,J28)</f>
        <v>0</v>
      </c>
      <c r="G38" s="60"/>
      <c r="H38" s="57">
        <f>J32</f>
        <v>0</v>
      </c>
      <c r="I38" s="98"/>
      <c r="J38" s="89">
        <f ca="1">MAX(0,ROUNDDOWN(F38-H38,-2))</f>
        <v>0</v>
      </c>
      <c r="K38" s="90"/>
    </row>
    <row r="44" spans="2:11" ht="18.75" customHeight="1" x14ac:dyDescent="0.4">
      <c r="B44" s="13"/>
      <c r="C44" s="13"/>
      <c r="D44" s="13"/>
      <c r="E44" s="13"/>
      <c r="F44" s="13"/>
      <c r="G44" s="13"/>
      <c r="H44" s="13"/>
      <c r="I44" s="13"/>
      <c r="J44" s="13"/>
    </row>
    <row r="48" spans="2:11" ht="18.75" customHeight="1" x14ac:dyDescent="0.4">
      <c r="B48" s="13"/>
      <c r="C48" s="13"/>
      <c r="D48" s="13"/>
      <c r="E48" s="13"/>
      <c r="F48" s="13"/>
      <c r="G48" s="13"/>
      <c r="H48" s="13"/>
      <c r="I48" s="13"/>
      <c r="J48" s="13"/>
    </row>
    <row r="50" spans="3:14" ht="18.75" customHeight="1" x14ac:dyDescent="0.4">
      <c r="N50" s="14"/>
    </row>
    <row r="51" spans="3:14" ht="18.75" customHeight="1" x14ac:dyDescent="0.4">
      <c r="N51" s="14"/>
    </row>
    <row r="52" spans="3:14" ht="18.75" customHeight="1" x14ac:dyDescent="0.4">
      <c r="N52" s="11"/>
    </row>
    <row r="53" spans="3:14" ht="18.75" customHeight="1" x14ac:dyDescent="0.4">
      <c r="N53" s="11"/>
    </row>
    <row r="54" spans="3:14" ht="18.75" customHeight="1" x14ac:dyDescent="0.4">
      <c r="N54" s="11"/>
    </row>
    <row r="56" spans="3:14" ht="18.75" customHeight="1" x14ac:dyDescent="0.4">
      <c r="C56" s="10"/>
      <c r="D56" s="11"/>
      <c r="E56" s="10"/>
      <c r="F56" s="11"/>
      <c r="G56" s="10"/>
      <c r="H56" s="10"/>
      <c r="I56" s="11"/>
      <c r="J56" s="10"/>
      <c r="K56" s="11"/>
    </row>
  </sheetData>
  <sheetProtection password="F728" sheet="1" selectLockedCells="1"/>
  <mergeCells count="74">
    <mergeCell ref="B36:E38"/>
    <mergeCell ref="J36:K37"/>
    <mergeCell ref="F35:G35"/>
    <mergeCell ref="F38:G38"/>
    <mergeCell ref="H31:I31"/>
    <mergeCell ref="B18:C18"/>
    <mergeCell ref="B19:C19"/>
    <mergeCell ref="D18:E18"/>
    <mergeCell ref="D19:E19"/>
    <mergeCell ref="J38:K38"/>
    <mergeCell ref="J31:K31"/>
    <mergeCell ref="J32:K32"/>
    <mergeCell ref="F36:G36"/>
    <mergeCell ref="J35:K35"/>
    <mergeCell ref="F31:G31"/>
    <mergeCell ref="F32:G32"/>
    <mergeCell ref="H32:I32"/>
    <mergeCell ref="H35:I35"/>
    <mergeCell ref="H38:I38"/>
    <mergeCell ref="H36:I37"/>
    <mergeCell ref="F37:G37"/>
    <mergeCell ref="J19:K19"/>
    <mergeCell ref="H27:I27"/>
    <mergeCell ref="J23:K23"/>
    <mergeCell ref="H18:I18"/>
    <mergeCell ref="H19:I19"/>
    <mergeCell ref="H24:I24"/>
    <mergeCell ref="J24:K24"/>
    <mergeCell ref="H28:I28"/>
    <mergeCell ref="F25:G25"/>
    <mergeCell ref="J28:K28"/>
    <mergeCell ref="H26:I26"/>
    <mergeCell ref="J26:K26"/>
    <mergeCell ref="J25:K25"/>
    <mergeCell ref="F28:G28"/>
    <mergeCell ref="J27:K27"/>
    <mergeCell ref="B14:C14"/>
    <mergeCell ref="B12:C12"/>
    <mergeCell ref="J12:K12"/>
    <mergeCell ref="J13:K13"/>
    <mergeCell ref="B13:C13"/>
    <mergeCell ref="J14:K14"/>
    <mergeCell ref="D28:E28"/>
    <mergeCell ref="F23:G23"/>
    <mergeCell ref="B1:K1"/>
    <mergeCell ref="B9:D9"/>
    <mergeCell ref="B10:D10"/>
    <mergeCell ref="B3:C3"/>
    <mergeCell ref="B4:C4"/>
    <mergeCell ref="D3:J3"/>
    <mergeCell ref="D4:J4"/>
    <mergeCell ref="F6:J6"/>
    <mergeCell ref="F7:J7"/>
    <mergeCell ref="B6:C6"/>
    <mergeCell ref="B7:C7"/>
    <mergeCell ref="D6:E6"/>
    <mergeCell ref="D7:E7"/>
    <mergeCell ref="H23:I23"/>
    <mergeCell ref="F8:J8"/>
    <mergeCell ref="D25:E25"/>
    <mergeCell ref="D27:E27"/>
    <mergeCell ref="H25:I25"/>
    <mergeCell ref="F24:G24"/>
    <mergeCell ref="D26:E26"/>
    <mergeCell ref="F26:G26"/>
    <mergeCell ref="D23:E24"/>
    <mergeCell ref="F27:G27"/>
    <mergeCell ref="E9:H9"/>
    <mergeCell ref="E10:H10"/>
    <mergeCell ref="I9:K9"/>
    <mergeCell ref="I10:K10"/>
    <mergeCell ref="J18:K18"/>
    <mergeCell ref="F18:G18"/>
    <mergeCell ref="F19:G19"/>
  </mergeCells>
  <phoneticPr fontId="1"/>
  <dataValidations count="15">
    <dataValidation type="whole" imeMode="off" allowBlank="1" showInputMessage="1" showErrorMessage="1" sqref="K4">
      <formula1>0</formula1>
      <formula2>999</formula2>
    </dataValidation>
    <dataValidation type="whole" imeMode="off" allowBlank="1" showInputMessage="1" showErrorMessage="1" errorTitle="開所日数エラー" error="8月の開所日数は、0～31までの_x000a_数字を入力してください。" sqref="H13">
      <formula1>0</formula1>
      <formula2>31</formula2>
    </dataValidation>
    <dataValidation type="whole" imeMode="off" allowBlank="1" showInputMessage="1" showErrorMessage="1" sqref="D14:I14">
      <formula1>0</formula1>
      <formula2>99999</formula2>
    </dataValidation>
    <dataValidation imeMode="off" allowBlank="1" showInputMessage="1" showErrorMessage="1" sqref="B4:C4 I10:K10"/>
    <dataValidation imeMode="hiragana" allowBlank="1" showInputMessage="1" showErrorMessage="1" sqref="B11:J11 L4 D4:J4 E10:H10"/>
    <dataValidation type="list" imeMode="hiragana" allowBlank="1" showInputMessage="1" showErrorMessage="1" sqref="K7">
      <formula1>INDIRECT("食事提供"&amp;D7)</formula1>
    </dataValidation>
    <dataValidation type="whole" imeMode="off" allowBlank="1" showInputMessage="1" showErrorMessage="1" errorTitle="開所日数エラー" error="日数エラーです。" sqref="I13">
      <formula1>0</formula1>
      <formula2>IF(I12="9月",30,31)</formula2>
    </dataValidation>
    <dataValidation type="whole" imeMode="off" allowBlank="1" showInputMessage="1" showErrorMessage="1" errorTitle="開所日数エラー" error="4月の開所日数は、0～30までの_x000a_数字を入力してください。" sqref="D13">
      <formula1>0</formula1>
      <formula2>30</formula2>
    </dataValidation>
    <dataValidation type="whole" imeMode="off" allowBlank="1" showInputMessage="1" showErrorMessage="1" errorTitle="開所日数エラー" error="5月の開所日数は、0～31までの_x000a_数字を入力してください。" sqref="E13">
      <formula1>0</formula1>
      <formula2>31</formula2>
    </dataValidation>
    <dataValidation type="whole" imeMode="off" allowBlank="1" showInputMessage="1" showErrorMessage="1" errorTitle="開所日数エラー" error="6月の開所日数は、0～30までの_x000a_数字を入力してください。" sqref="F13">
      <formula1>0</formula1>
      <formula2>30</formula2>
    </dataValidation>
    <dataValidation type="whole" imeMode="off" allowBlank="1" showInputMessage="1" showErrorMessage="1" errorTitle="開所日数エラー" error="7月の開所日数は、0～31までの_x000a_数字を入力してください。" sqref="G13">
      <formula1>0</formula1>
      <formula2>31</formula2>
    </dataValidation>
    <dataValidation type="list" imeMode="hiragana" allowBlank="1" showInputMessage="1" showErrorMessage="1" sqref="B7:C7">
      <formula1>施設種別</formula1>
    </dataValidation>
    <dataValidation type="list" imeMode="hiragana" allowBlank="1" showInputMessage="1" showErrorMessage="1" sqref="D7:E7">
      <formula1>施設形態</formula1>
    </dataValidation>
    <dataValidation type="list" imeMode="hiragana" allowBlank="1" showInputMessage="1" showErrorMessage="1" sqref="F7:J7">
      <formula1>INDIRECT(B7&amp;D7)</formula1>
    </dataValidation>
    <dataValidation type="date" imeMode="off" allowBlank="1" showInputMessage="1" showErrorMessage="1" errorTitle="日付として認識できません。" error="事業開始年月日は_x000a_令和5年10月1日までの_x000a_日付として入力してください。_x000a_" sqref="B10:D10">
      <formula1>1</formula1>
      <formula2>45200</formula2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ignoredErrors>
    <ignoredError sqref="E15: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46"/>
  <sheetViews>
    <sheetView showGridLines="0" showRowColHeaders="0" workbookViewId="0">
      <pane ySplit="5" topLeftCell="A6" activePane="bottomLeft" state="frozen"/>
      <selection pane="bottomLeft" activeCell="C6" sqref="C6"/>
    </sheetView>
  </sheetViews>
  <sheetFormatPr defaultRowHeight="18.75" customHeight="1" x14ac:dyDescent="0.4"/>
  <cols>
    <col min="1" max="1" width="1.125" style="25" customWidth="1"/>
    <col min="2" max="2" width="25" style="25" customWidth="1"/>
    <col min="3" max="5" width="13.375" style="25" customWidth="1"/>
    <col min="6" max="6" width="18.125" style="25" customWidth="1"/>
    <col min="7" max="7" width="9" style="25"/>
    <col min="8" max="18" width="12.125" style="25" hidden="1" customWidth="1"/>
    <col min="19" max="16384" width="9" style="25"/>
  </cols>
  <sheetData>
    <row r="1" spans="2:18" ht="17.25" customHeight="1" x14ac:dyDescent="0.4">
      <c r="B1" s="25" t="s">
        <v>161</v>
      </c>
    </row>
    <row r="2" spans="2:18" ht="17.25" customHeight="1" x14ac:dyDescent="0.4">
      <c r="B2" s="25" t="s">
        <v>155</v>
      </c>
    </row>
    <row r="3" spans="2:18" ht="17.25" customHeight="1" x14ac:dyDescent="0.4">
      <c r="B3" s="25" t="s">
        <v>154</v>
      </c>
    </row>
    <row r="4" spans="2:18" ht="18.75" customHeight="1" x14ac:dyDescent="0.4">
      <c r="C4" s="111" t="str">
        <f>計算シート!B4&amp;"："&amp;計算シート!D4</f>
        <v>：</v>
      </c>
      <c r="D4" s="111"/>
      <c r="E4" s="111"/>
      <c r="F4" s="111"/>
      <c r="I4" s="25" t="s">
        <v>114</v>
      </c>
      <c r="L4" s="25" t="s">
        <v>115</v>
      </c>
    </row>
    <row r="5" spans="2:18" ht="17.25" customHeight="1" x14ac:dyDescent="0.4">
      <c r="B5" s="26"/>
      <c r="C5" s="27" t="s">
        <v>3</v>
      </c>
      <c r="D5" s="27" t="s">
        <v>5</v>
      </c>
      <c r="E5" s="27" t="s">
        <v>46</v>
      </c>
      <c r="F5" s="27" t="s">
        <v>1</v>
      </c>
      <c r="I5" s="25" t="s">
        <v>3</v>
      </c>
      <c r="J5" s="25" t="s">
        <v>116</v>
      </c>
      <c r="K5" s="25" t="s">
        <v>46</v>
      </c>
      <c r="L5" s="25" t="s">
        <v>3</v>
      </c>
      <c r="M5" s="25" t="s">
        <v>116</v>
      </c>
      <c r="N5" s="25" t="s">
        <v>46</v>
      </c>
      <c r="Q5" s="28"/>
    </row>
    <row r="6" spans="2:18" ht="17.25" customHeight="1" x14ac:dyDescent="0.4">
      <c r="B6" s="29" t="s">
        <v>75</v>
      </c>
      <c r="C6" s="46"/>
      <c r="D6" s="46"/>
      <c r="E6" s="46"/>
      <c r="F6" s="30">
        <f>SUM(C6:E6)</f>
        <v>0</v>
      </c>
      <c r="H6" s="28">
        <v>44287</v>
      </c>
      <c r="I6" s="25">
        <f t="shared" ref="I6:I17" si="0">IF(開始日&gt;DATE(2022,3,1),0,IF(開始日&gt;H6,0,1))</f>
        <v>1</v>
      </c>
      <c r="J6" s="25">
        <f t="shared" ref="J6:J17" si="1">IF(開始日&gt;DATE(2022,3,1),0,IF(開始日&gt;H6,0,1))</f>
        <v>1</v>
      </c>
      <c r="K6" s="25">
        <f t="shared" ref="K6:K17" si="2">IF(開始日&gt;DATE(2022,3,1),0,IF(開始日&gt;H6,0,1))</f>
        <v>1</v>
      </c>
      <c r="L6" s="25">
        <f t="shared" ref="L6:L17" si="3">IF(開始日&gt;DATE(2022,3,1),0,IF(開始日&gt;H6,0,1))</f>
        <v>1</v>
      </c>
      <c r="M6" s="25">
        <f t="shared" ref="M6:M17" si="4">IF(開始日&gt;DATE(2022,3,1),0,IF(開始日&gt;H6,0,1))</f>
        <v>1</v>
      </c>
      <c r="N6" s="25">
        <v>0</v>
      </c>
      <c r="P6" s="25" t="s">
        <v>113</v>
      </c>
      <c r="Q6" s="25" t="e">
        <f>VLOOKUP(計算シート!B7&amp;計算シート!D7&amp;計算シート!F7,単価表,3,0)</f>
        <v>#N/A</v>
      </c>
    </row>
    <row r="7" spans="2:18" ht="17.25" customHeight="1" x14ac:dyDescent="0.4">
      <c r="B7" s="29" t="s">
        <v>76</v>
      </c>
      <c r="C7" s="46"/>
      <c r="D7" s="46"/>
      <c r="E7" s="46"/>
      <c r="F7" s="30">
        <f t="shared" ref="F7:F44" si="5">SUM(C7:E7)</f>
        <v>0</v>
      </c>
      <c r="H7" s="28">
        <v>44317</v>
      </c>
      <c r="I7" s="25">
        <f t="shared" si="0"/>
        <v>1</v>
      </c>
      <c r="J7" s="25">
        <f t="shared" si="1"/>
        <v>1</v>
      </c>
      <c r="K7" s="25">
        <f t="shared" si="2"/>
        <v>1</v>
      </c>
      <c r="L7" s="25">
        <f t="shared" si="3"/>
        <v>1</v>
      </c>
      <c r="M7" s="25">
        <f t="shared" si="4"/>
        <v>1</v>
      </c>
      <c r="N7" s="25">
        <v>0</v>
      </c>
    </row>
    <row r="8" spans="2:18" ht="17.25" customHeight="1" x14ac:dyDescent="0.4">
      <c r="B8" s="29" t="s">
        <v>77</v>
      </c>
      <c r="C8" s="46"/>
      <c r="D8" s="46"/>
      <c r="E8" s="46"/>
      <c r="F8" s="30">
        <f t="shared" si="5"/>
        <v>0</v>
      </c>
      <c r="H8" s="28">
        <v>44348</v>
      </c>
      <c r="I8" s="25">
        <f t="shared" si="0"/>
        <v>1</v>
      </c>
      <c r="J8" s="25">
        <f t="shared" si="1"/>
        <v>1</v>
      </c>
      <c r="K8" s="25">
        <f t="shared" si="2"/>
        <v>1</v>
      </c>
      <c r="L8" s="25">
        <f t="shared" si="3"/>
        <v>1</v>
      </c>
      <c r="M8" s="25">
        <f t="shared" si="4"/>
        <v>1</v>
      </c>
      <c r="N8" s="25">
        <v>0</v>
      </c>
      <c r="P8" s="25" t="s">
        <v>114</v>
      </c>
    </row>
    <row r="9" spans="2:18" ht="17.25" customHeight="1" x14ac:dyDescent="0.4">
      <c r="B9" s="29" t="s">
        <v>78</v>
      </c>
      <c r="C9" s="46"/>
      <c r="D9" s="46"/>
      <c r="E9" s="46"/>
      <c r="F9" s="30">
        <f t="shared" si="5"/>
        <v>0</v>
      </c>
      <c r="H9" s="28">
        <v>44378</v>
      </c>
      <c r="I9" s="25">
        <f t="shared" si="0"/>
        <v>1</v>
      </c>
      <c r="J9" s="25">
        <f t="shared" si="1"/>
        <v>1</v>
      </c>
      <c r="K9" s="25">
        <f t="shared" si="2"/>
        <v>1</v>
      </c>
      <c r="L9" s="25">
        <f t="shared" si="3"/>
        <v>1</v>
      </c>
      <c r="M9" s="25">
        <f t="shared" si="4"/>
        <v>1</v>
      </c>
      <c r="N9" s="25">
        <v>0</v>
      </c>
      <c r="P9" s="25" t="s">
        <v>3</v>
      </c>
      <c r="Q9" s="25" t="s">
        <v>116</v>
      </c>
      <c r="R9" s="25" t="s">
        <v>46</v>
      </c>
    </row>
    <row r="10" spans="2:18" ht="17.25" customHeight="1" x14ac:dyDescent="0.4">
      <c r="B10" s="29" t="s">
        <v>79</v>
      </c>
      <c r="C10" s="46"/>
      <c r="D10" s="46"/>
      <c r="E10" s="46"/>
      <c r="F10" s="30">
        <f t="shared" si="5"/>
        <v>0</v>
      </c>
      <c r="H10" s="28">
        <v>44409</v>
      </c>
      <c r="I10" s="25">
        <f t="shared" si="0"/>
        <v>1</v>
      </c>
      <c r="J10" s="25">
        <f t="shared" si="1"/>
        <v>1</v>
      </c>
      <c r="K10" s="25">
        <f t="shared" si="2"/>
        <v>1</v>
      </c>
      <c r="L10" s="25">
        <f t="shared" si="3"/>
        <v>1</v>
      </c>
      <c r="M10" s="25">
        <f t="shared" si="4"/>
        <v>1</v>
      </c>
      <c r="N10" s="25">
        <v>0</v>
      </c>
      <c r="P10" s="45">
        <f>IFERROR(SUMIF(I6:I31,1,C6:C31)*12/SUM(I6:I31),0)</f>
        <v>0</v>
      </c>
      <c r="Q10" s="45">
        <f>IFERROR(SUMIF(J6:J31,1,D6:D31)*12/SUM(J6:J31),0)</f>
        <v>0</v>
      </c>
      <c r="R10" s="45">
        <f>IFERROR(SUMIF(K6:K31,1,E6:E31)*12/SUM(K6:K31),0)</f>
        <v>0</v>
      </c>
    </row>
    <row r="11" spans="2:18" ht="17.25" customHeight="1" x14ac:dyDescent="0.4">
      <c r="B11" s="29" t="s">
        <v>80</v>
      </c>
      <c r="C11" s="46"/>
      <c r="D11" s="46"/>
      <c r="E11" s="46"/>
      <c r="F11" s="30">
        <f t="shared" si="5"/>
        <v>0</v>
      </c>
      <c r="H11" s="28">
        <v>44440</v>
      </c>
      <c r="I11" s="25">
        <f t="shared" si="0"/>
        <v>1</v>
      </c>
      <c r="J11" s="25">
        <f t="shared" si="1"/>
        <v>1</v>
      </c>
      <c r="K11" s="25">
        <f t="shared" si="2"/>
        <v>1</v>
      </c>
      <c r="L11" s="25">
        <f t="shared" si="3"/>
        <v>1</v>
      </c>
      <c r="M11" s="25">
        <f t="shared" si="4"/>
        <v>1</v>
      </c>
      <c r="N11" s="25">
        <v>0</v>
      </c>
      <c r="P11" s="45">
        <f>IF(P10&gt;0,P10,IF(SUM(I6:I17)&gt;0,C19,C33))</f>
        <v>0</v>
      </c>
      <c r="Q11" s="45">
        <f>IF(Q10&gt;0,Q10,IF(SUM(J6:J17)&gt;0,D19,D33))</f>
        <v>0</v>
      </c>
      <c r="R11" s="45">
        <f>IF(R10&gt;0,R10,IF(SUM(K6:K17)&gt;0,E19,E33))</f>
        <v>0</v>
      </c>
    </row>
    <row r="12" spans="2:18" ht="17.25" customHeight="1" x14ac:dyDescent="0.4">
      <c r="B12" s="29" t="s">
        <v>81</v>
      </c>
      <c r="C12" s="46"/>
      <c r="D12" s="46"/>
      <c r="E12" s="46"/>
      <c r="F12" s="30">
        <f t="shared" si="5"/>
        <v>0</v>
      </c>
      <c r="H12" s="28">
        <v>44470</v>
      </c>
      <c r="I12" s="25">
        <f t="shared" si="0"/>
        <v>1</v>
      </c>
      <c r="J12" s="25">
        <f t="shared" si="1"/>
        <v>1</v>
      </c>
      <c r="K12" s="25">
        <f t="shared" si="2"/>
        <v>1</v>
      </c>
      <c r="L12" s="25">
        <f t="shared" si="3"/>
        <v>1</v>
      </c>
      <c r="M12" s="25">
        <f t="shared" si="4"/>
        <v>1</v>
      </c>
      <c r="N12" s="25">
        <v>0</v>
      </c>
    </row>
    <row r="13" spans="2:18" ht="17.25" customHeight="1" x14ac:dyDescent="0.4">
      <c r="B13" s="29" t="s">
        <v>82</v>
      </c>
      <c r="C13" s="46"/>
      <c r="D13" s="46"/>
      <c r="E13" s="46"/>
      <c r="F13" s="30">
        <f t="shared" si="5"/>
        <v>0</v>
      </c>
      <c r="H13" s="28">
        <v>44501</v>
      </c>
      <c r="I13" s="25">
        <f t="shared" si="0"/>
        <v>1</v>
      </c>
      <c r="J13" s="25">
        <f t="shared" si="1"/>
        <v>1</v>
      </c>
      <c r="K13" s="25">
        <f t="shared" si="2"/>
        <v>1</v>
      </c>
      <c r="L13" s="25">
        <f t="shared" si="3"/>
        <v>1</v>
      </c>
      <c r="M13" s="25">
        <f t="shared" si="4"/>
        <v>1</v>
      </c>
      <c r="N13" s="25">
        <v>0</v>
      </c>
    </row>
    <row r="14" spans="2:18" ht="17.25" customHeight="1" x14ac:dyDescent="0.4">
      <c r="B14" s="29" t="s">
        <v>83</v>
      </c>
      <c r="C14" s="46"/>
      <c r="D14" s="46"/>
      <c r="E14" s="46"/>
      <c r="F14" s="30">
        <f t="shared" si="5"/>
        <v>0</v>
      </c>
      <c r="H14" s="28">
        <v>44531</v>
      </c>
      <c r="I14" s="25">
        <f t="shared" si="0"/>
        <v>1</v>
      </c>
      <c r="J14" s="25">
        <f t="shared" si="1"/>
        <v>1</v>
      </c>
      <c r="K14" s="25">
        <f t="shared" si="2"/>
        <v>1</v>
      </c>
      <c r="L14" s="25">
        <f t="shared" si="3"/>
        <v>1</v>
      </c>
      <c r="M14" s="25">
        <f t="shared" si="4"/>
        <v>1</v>
      </c>
      <c r="N14" s="25">
        <v>0</v>
      </c>
      <c r="P14" s="25" t="s">
        <v>117</v>
      </c>
    </row>
    <row r="15" spans="2:18" ht="17.25" customHeight="1" x14ac:dyDescent="0.4">
      <c r="B15" s="29" t="s">
        <v>84</v>
      </c>
      <c r="C15" s="46"/>
      <c r="D15" s="46"/>
      <c r="E15" s="46"/>
      <c r="F15" s="30">
        <f t="shared" si="5"/>
        <v>0</v>
      </c>
      <c r="H15" s="28">
        <v>44562</v>
      </c>
      <c r="I15" s="25">
        <f t="shared" si="0"/>
        <v>1</v>
      </c>
      <c r="J15" s="25">
        <f t="shared" si="1"/>
        <v>1</v>
      </c>
      <c r="K15" s="25">
        <f t="shared" si="2"/>
        <v>1</v>
      </c>
      <c r="L15" s="25">
        <f t="shared" si="3"/>
        <v>1</v>
      </c>
      <c r="M15" s="25">
        <f t="shared" si="4"/>
        <v>1</v>
      </c>
      <c r="N15" s="25">
        <v>0</v>
      </c>
      <c r="P15" s="25" t="s">
        <v>3</v>
      </c>
      <c r="Q15" s="25" t="s">
        <v>116</v>
      </c>
      <c r="R15" s="25" t="s">
        <v>46</v>
      </c>
    </row>
    <row r="16" spans="2:18" ht="17.25" customHeight="1" x14ac:dyDescent="0.4">
      <c r="B16" s="29" t="s">
        <v>85</v>
      </c>
      <c r="C16" s="46"/>
      <c r="D16" s="46"/>
      <c r="E16" s="46"/>
      <c r="F16" s="30">
        <f t="shared" si="5"/>
        <v>0</v>
      </c>
      <c r="H16" s="28">
        <v>44593</v>
      </c>
      <c r="I16" s="25">
        <f t="shared" si="0"/>
        <v>1</v>
      </c>
      <c r="J16" s="25">
        <f t="shared" si="1"/>
        <v>1</v>
      </c>
      <c r="K16" s="25">
        <f t="shared" si="2"/>
        <v>1</v>
      </c>
      <c r="L16" s="25">
        <f t="shared" si="3"/>
        <v>1</v>
      </c>
      <c r="M16" s="25">
        <f t="shared" si="4"/>
        <v>1</v>
      </c>
      <c r="N16" s="25">
        <v>0</v>
      </c>
      <c r="P16" s="45">
        <f>IFERROR(SUMIF(L6:L31,1,C6:C31)*12/SUM(L6:L31),0)</f>
        <v>0</v>
      </c>
      <c r="Q16" s="45">
        <f>IFERROR(SUMIF(M6:M31,1,D6:D31)*12/SUM(M6:M31),0)</f>
        <v>0</v>
      </c>
      <c r="R16" s="45">
        <f>IFERROR(SUMIF(N6:N31,1,E6:E31)*12/SUM(N6:N31),0)</f>
        <v>0</v>
      </c>
    </row>
    <row r="17" spans="2:18" ht="17.25" customHeight="1" thickBot="1" x14ac:dyDescent="0.45">
      <c r="B17" s="29" t="s">
        <v>86</v>
      </c>
      <c r="C17" s="47"/>
      <c r="D17" s="47"/>
      <c r="E17" s="47"/>
      <c r="F17" s="31">
        <f t="shared" si="5"/>
        <v>0</v>
      </c>
      <c r="H17" s="28">
        <v>44621</v>
      </c>
      <c r="I17" s="25">
        <f t="shared" si="0"/>
        <v>1</v>
      </c>
      <c r="J17" s="25">
        <f t="shared" si="1"/>
        <v>1</v>
      </c>
      <c r="K17" s="25">
        <f t="shared" si="2"/>
        <v>1</v>
      </c>
      <c r="L17" s="25">
        <f t="shared" si="3"/>
        <v>1</v>
      </c>
      <c r="M17" s="25">
        <f t="shared" si="4"/>
        <v>1</v>
      </c>
      <c r="N17" s="25">
        <v>0</v>
      </c>
      <c r="P17" s="45">
        <f>IF(P16&gt;0,P16,IF(SUM(N6:N17)&gt;0,C19,C33))</f>
        <v>0</v>
      </c>
      <c r="Q17" s="45">
        <f>IF(Q16&gt;0,Q16,IF(SUM(M6:M17)&gt;0,D19,D33))</f>
        <v>0</v>
      </c>
      <c r="R17" s="45">
        <f>IF(R16&gt;0,R16,IF(SUM(L6:L17)&gt;0,E19,E33))</f>
        <v>0</v>
      </c>
    </row>
    <row r="18" spans="2:18" ht="17.25" customHeight="1" thickBot="1" x14ac:dyDescent="0.45">
      <c r="B18" s="32" t="s">
        <v>105</v>
      </c>
      <c r="C18" s="33">
        <f>SUM(C6:C17)</f>
        <v>0</v>
      </c>
      <c r="D18" s="33">
        <f t="shared" ref="D18:E18" si="6">SUM(D6:D17)</f>
        <v>0</v>
      </c>
      <c r="E18" s="33">
        <f t="shared" si="6"/>
        <v>0</v>
      </c>
      <c r="F18" s="34">
        <f t="shared" si="5"/>
        <v>0</v>
      </c>
    </row>
    <row r="19" spans="2:18" ht="17.25" customHeight="1" thickBot="1" x14ac:dyDescent="0.45">
      <c r="B19" s="41" t="s">
        <v>137</v>
      </c>
      <c r="C19" s="48"/>
      <c r="D19" s="48"/>
      <c r="E19" s="48"/>
      <c r="F19" s="34">
        <f>SUM(C19:E19)</f>
        <v>0</v>
      </c>
    </row>
    <row r="20" spans="2:18" ht="17.25" customHeight="1" x14ac:dyDescent="0.4">
      <c r="B20" s="35" t="s">
        <v>87</v>
      </c>
      <c r="C20" s="49"/>
      <c r="D20" s="49"/>
      <c r="E20" s="49"/>
      <c r="F20" s="36">
        <f t="shared" si="5"/>
        <v>0</v>
      </c>
      <c r="H20" s="28">
        <v>44652</v>
      </c>
      <c r="I20" s="25">
        <f t="shared" ref="I20:I31" si="7">IF(OR(開始日&lt;DATE(2022,3,2),開始日&gt;DATE(2023,3,1)),0,IF(開始日&gt;H20,0,1))</f>
        <v>0</v>
      </c>
      <c r="J20" s="25">
        <f t="shared" ref="J20:J31" si="8">IF(OR(開始日&lt;DATE(2022,3,2),開始日&gt;DATE(2023,3,1)),0,IF(開始日&gt;H20,0,1))</f>
        <v>0</v>
      </c>
      <c r="K20" s="25">
        <f t="shared" ref="K20:K31" si="9">IF(OR(開始日&lt;DATE(2022,3,2),開始日&gt;DATE(2023,3,1)),0,IF(開始日&gt;H20,0,1))</f>
        <v>0</v>
      </c>
      <c r="L20" s="25">
        <f t="shared" ref="L20:L31" si="10">IF(OR(開始日&lt;DATE(2022,3,2),開始日&gt;DATE(2023,3,1)),0,IF(開始日&gt;H20,0,1))</f>
        <v>0</v>
      </c>
      <c r="M20" s="25">
        <f t="shared" ref="M20:M31" si="11">IF(OR(開始日&lt;DATE(2022,3,2),開始日&gt;DATE(2023,3,1)),0,IF(開始日&gt;H20,0,1))</f>
        <v>0</v>
      </c>
      <c r="N20" s="25">
        <f t="shared" ref="N20:N31" si="12">IF(開始日&gt;DATE(2023,3,2),0,IF(開始日&gt;H20,0,1))</f>
        <v>1</v>
      </c>
    </row>
    <row r="21" spans="2:18" ht="17.25" customHeight="1" x14ac:dyDescent="0.4">
      <c r="B21" s="35" t="s">
        <v>88</v>
      </c>
      <c r="C21" s="46"/>
      <c r="D21" s="46"/>
      <c r="E21" s="46"/>
      <c r="F21" s="30">
        <f t="shared" si="5"/>
        <v>0</v>
      </c>
      <c r="H21" s="28">
        <v>44682</v>
      </c>
      <c r="I21" s="25">
        <f t="shared" si="7"/>
        <v>0</v>
      </c>
      <c r="J21" s="25">
        <f t="shared" si="8"/>
        <v>0</v>
      </c>
      <c r="K21" s="25">
        <f t="shared" si="9"/>
        <v>0</v>
      </c>
      <c r="L21" s="25">
        <f t="shared" si="10"/>
        <v>0</v>
      </c>
      <c r="M21" s="25">
        <f t="shared" si="11"/>
        <v>0</v>
      </c>
      <c r="N21" s="25">
        <f t="shared" si="12"/>
        <v>1</v>
      </c>
    </row>
    <row r="22" spans="2:18" ht="17.25" customHeight="1" x14ac:dyDescent="0.4">
      <c r="B22" s="35" t="s">
        <v>89</v>
      </c>
      <c r="C22" s="46"/>
      <c r="D22" s="46"/>
      <c r="E22" s="46"/>
      <c r="F22" s="30">
        <f t="shared" si="5"/>
        <v>0</v>
      </c>
      <c r="H22" s="28">
        <v>44713</v>
      </c>
      <c r="I22" s="25">
        <f t="shared" si="7"/>
        <v>0</v>
      </c>
      <c r="J22" s="25">
        <f t="shared" si="8"/>
        <v>0</v>
      </c>
      <c r="K22" s="25">
        <f t="shared" si="9"/>
        <v>0</v>
      </c>
      <c r="L22" s="25">
        <f t="shared" si="10"/>
        <v>0</v>
      </c>
      <c r="M22" s="25">
        <f t="shared" si="11"/>
        <v>0</v>
      </c>
      <c r="N22" s="25">
        <f t="shared" si="12"/>
        <v>1</v>
      </c>
    </row>
    <row r="23" spans="2:18" ht="17.25" customHeight="1" x14ac:dyDescent="0.4">
      <c r="B23" s="35" t="s">
        <v>90</v>
      </c>
      <c r="C23" s="46"/>
      <c r="D23" s="46"/>
      <c r="E23" s="46"/>
      <c r="F23" s="30">
        <f t="shared" si="5"/>
        <v>0</v>
      </c>
      <c r="H23" s="28">
        <v>44743</v>
      </c>
      <c r="I23" s="25">
        <f t="shared" si="7"/>
        <v>0</v>
      </c>
      <c r="J23" s="25">
        <f t="shared" si="8"/>
        <v>0</v>
      </c>
      <c r="K23" s="25">
        <f t="shared" si="9"/>
        <v>0</v>
      </c>
      <c r="L23" s="25">
        <f t="shared" si="10"/>
        <v>0</v>
      </c>
      <c r="M23" s="25">
        <f t="shared" si="11"/>
        <v>0</v>
      </c>
      <c r="N23" s="25">
        <f t="shared" si="12"/>
        <v>1</v>
      </c>
    </row>
    <row r="24" spans="2:18" ht="17.25" customHeight="1" x14ac:dyDescent="0.4">
      <c r="B24" s="35" t="s">
        <v>91</v>
      </c>
      <c r="C24" s="46"/>
      <c r="D24" s="46"/>
      <c r="E24" s="46"/>
      <c r="F24" s="30">
        <f t="shared" si="5"/>
        <v>0</v>
      </c>
      <c r="H24" s="28">
        <v>44774</v>
      </c>
      <c r="I24" s="25">
        <f t="shared" si="7"/>
        <v>0</v>
      </c>
      <c r="J24" s="25">
        <f t="shared" si="8"/>
        <v>0</v>
      </c>
      <c r="K24" s="25">
        <f t="shared" si="9"/>
        <v>0</v>
      </c>
      <c r="L24" s="25">
        <f t="shared" si="10"/>
        <v>0</v>
      </c>
      <c r="M24" s="25">
        <f t="shared" si="11"/>
        <v>0</v>
      </c>
      <c r="N24" s="25">
        <f t="shared" si="12"/>
        <v>1</v>
      </c>
    </row>
    <row r="25" spans="2:18" ht="17.25" customHeight="1" x14ac:dyDescent="0.4">
      <c r="B25" s="35" t="s">
        <v>92</v>
      </c>
      <c r="C25" s="46"/>
      <c r="D25" s="46"/>
      <c r="E25" s="46"/>
      <c r="F25" s="30">
        <f t="shared" si="5"/>
        <v>0</v>
      </c>
      <c r="H25" s="28">
        <v>44805</v>
      </c>
      <c r="I25" s="25">
        <f t="shared" si="7"/>
        <v>0</v>
      </c>
      <c r="J25" s="25">
        <f t="shared" si="8"/>
        <v>0</v>
      </c>
      <c r="K25" s="25">
        <f t="shared" si="9"/>
        <v>0</v>
      </c>
      <c r="L25" s="25">
        <f t="shared" si="10"/>
        <v>0</v>
      </c>
      <c r="M25" s="25">
        <f t="shared" si="11"/>
        <v>0</v>
      </c>
      <c r="N25" s="25">
        <f t="shared" si="12"/>
        <v>1</v>
      </c>
    </row>
    <row r="26" spans="2:18" ht="17.25" customHeight="1" x14ac:dyDescent="0.4">
      <c r="B26" s="35" t="s">
        <v>93</v>
      </c>
      <c r="C26" s="46"/>
      <c r="D26" s="46"/>
      <c r="E26" s="46"/>
      <c r="F26" s="30">
        <f t="shared" si="5"/>
        <v>0</v>
      </c>
      <c r="H26" s="28">
        <v>44835</v>
      </c>
      <c r="I26" s="25">
        <f t="shared" si="7"/>
        <v>0</v>
      </c>
      <c r="J26" s="25">
        <f t="shared" si="8"/>
        <v>0</v>
      </c>
      <c r="K26" s="25">
        <f t="shared" si="9"/>
        <v>0</v>
      </c>
      <c r="L26" s="25">
        <f t="shared" si="10"/>
        <v>0</v>
      </c>
      <c r="M26" s="25">
        <f t="shared" si="11"/>
        <v>0</v>
      </c>
      <c r="N26" s="25">
        <f t="shared" si="12"/>
        <v>1</v>
      </c>
    </row>
    <row r="27" spans="2:18" ht="17.25" customHeight="1" x14ac:dyDescent="0.4">
      <c r="B27" s="35" t="s">
        <v>94</v>
      </c>
      <c r="C27" s="46"/>
      <c r="D27" s="46"/>
      <c r="E27" s="46"/>
      <c r="F27" s="30">
        <f t="shared" si="5"/>
        <v>0</v>
      </c>
      <c r="H27" s="28">
        <v>44866</v>
      </c>
      <c r="I27" s="25">
        <f t="shared" si="7"/>
        <v>0</v>
      </c>
      <c r="J27" s="25">
        <f t="shared" si="8"/>
        <v>0</v>
      </c>
      <c r="K27" s="25">
        <f t="shared" si="9"/>
        <v>0</v>
      </c>
      <c r="L27" s="25">
        <f t="shared" si="10"/>
        <v>0</v>
      </c>
      <c r="M27" s="25">
        <f t="shared" si="11"/>
        <v>0</v>
      </c>
      <c r="N27" s="25">
        <f t="shared" si="12"/>
        <v>1</v>
      </c>
    </row>
    <row r="28" spans="2:18" ht="17.25" customHeight="1" x14ac:dyDescent="0.4">
      <c r="B28" s="35" t="s">
        <v>95</v>
      </c>
      <c r="C28" s="46"/>
      <c r="D28" s="46"/>
      <c r="E28" s="46"/>
      <c r="F28" s="30">
        <f t="shared" si="5"/>
        <v>0</v>
      </c>
      <c r="H28" s="28">
        <v>44896</v>
      </c>
      <c r="I28" s="25">
        <f t="shared" si="7"/>
        <v>0</v>
      </c>
      <c r="J28" s="25">
        <f t="shared" si="8"/>
        <v>0</v>
      </c>
      <c r="K28" s="25">
        <f t="shared" si="9"/>
        <v>0</v>
      </c>
      <c r="L28" s="25">
        <f t="shared" si="10"/>
        <v>0</v>
      </c>
      <c r="M28" s="25">
        <f t="shared" si="11"/>
        <v>0</v>
      </c>
      <c r="N28" s="25">
        <f t="shared" si="12"/>
        <v>1</v>
      </c>
    </row>
    <row r="29" spans="2:18" ht="17.25" customHeight="1" x14ac:dyDescent="0.4">
      <c r="B29" s="35" t="s">
        <v>96</v>
      </c>
      <c r="C29" s="46"/>
      <c r="D29" s="46"/>
      <c r="E29" s="46"/>
      <c r="F29" s="30">
        <f t="shared" si="5"/>
        <v>0</v>
      </c>
      <c r="H29" s="28">
        <v>44927</v>
      </c>
      <c r="I29" s="25">
        <f t="shared" si="7"/>
        <v>0</v>
      </c>
      <c r="J29" s="25">
        <f t="shared" si="8"/>
        <v>0</v>
      </c>
      <c r="K29" s="25">
        <f t="shared" si="9"/>
        <v>0</v>
      </c>
      <c r="L29" s="25">
        <f t="shared" si="10"/>
        <v>0</v>
      </c>
      <c r="M29" s="25">
        <f t="shared" si="11"/>
        <v>0</v>
      </c>
      <c r="N29" s="25">
        <f t="shared" si="12"/>
        <v>1</v>
      </c>
    </row>
    <row r="30" spans="2:18" ht="17.25" customHeight="1" x14ac:dyDescent="0.4">
      <c r="B30" s="35" t="s">
        <v>97</v>
      </c>
      <c r="C30" s="46"/>
      <c r="D30" s="46"/>
      <c r="E30" s="46"/>
      <c r="F30" s="30">
        <f t="shared" si="5"/>
        <v>0</v>
      </c>
      <c r="H30" s="28">
        <v>44958</v>
      </c>
      <c r="I30" s="25">
        <f t="shared" si="7"/>
        <v>0</v>
      </c>
      <c r="J30" s="25">
        <f t="shared" si="8"/>
        <v>0</v>
      </c>
      <c r="K30" s="25">
        <f t="shared" si="9"/>
        <v>0</v>
      </c>
      <c r="L30" s="25">
        <f t="shared" si="10"/>
        <v>0</v>
      </c>
      <c r="M30" s="25">
        <f t="shared" si="11"/>
        <v>0</v>
      </c>
      <c r="N30" s="25">
        <f t="shared" si="12"/>
        <v>1</v>
      </c>
    </row>
    <row r="31" spans="2:18" ht="17.25" customHeight="1" thickBot="1" x14ac:dyDescent="0.45">
      <c r="B31" s="35" t="s">
        <v>98</v>
      </c>
      <c r="C31" s="47"/>
      <c r="D31" s="47"/>
      <c r="E31" s="47"/>
      <c r="F31" s="31">
        <f t="shared" si="5"/>
        <v>0</v>
      </c>
      <c r="H31" s="28">
        <v>44986</v>
      </c>
      <c r="I31" s="25">
        <f t="shared" si="7"/>
        <v>0</v>
      </c>
      <c r="J31" s="25">
        <f t="shared" si="8"/>
        <v>0</v>
      </c>
      <c r="K31" s="25">
        <f t="shared" si="9"/>
        <v>0</v>
      </c>
      <c r="L31" s="25">
        <f t="shared" si="10"/>
        <v>0</v>
      </c>
      <c r="M31" s="25">
        <f t="shared" si="11"/>
        <v>0</v>
      </c>
      <c r="N31" s="25">
        <f t="shared" si="12"/>
        <v>1</v>
      </c>
    </row>
    <row r="32" spans="2:18" ht="17.25" customHeight="1" thickBot="1" x14ac:dyDescent="0.45">
      <c r="B32" s="32" t="s">
        <v>106</v>
      </c>
      <c r="C32" s="33">
        <f>SUM(C20:C31)</f>
        <v>0</v>
      </c>
      <c r="D32" s="33">
        <f t="shared" ref="D32:E32" si="13">SUM(D20:D31)</f>
        <v>0</v>
      </c>
      <c r="E32" s="33">
        <f t="shared" si="13"/>
        <v>0</v>
      </c>
      <c r="F32" s="34">
        <f t="shared" si="5"/>
        <v>0</v>
      </c>
    </row>
    <row r="33" spans="2:17" ht="17.25" customHeight="1" thickBot="1" x14ac:dyDescent="0.45">
      <c r="B33" s="41" t="s">
        <v>138</v>
      </c>
      <c r="C33" s="48"/>
      <c r="D33" s="48"/>
      <c r="E33" s="48"/>
      <c r="F33" s="34">
        <f>SUM(C33:E33)</f>
        <v>0</v>
      </c>
      <c r="I33" s="25" t="s">
        <v>152</v>
      </c>
      <c r="O33" s="25" t="s">
        <v>151</v>
      </c>
      <c r="Q33" s="25" t="s">
        <v>149</v>
      </c>
    </row>
    <row r="34" spans="2:17" ht="17.25" customHeight="1" x14ac:dyDescent="0.4">
      <c r="B34" s="35" t="s">
        <v>99</v>
      </c>
      <c r="C34" s="49"/>
      <c r="D34" s="49"/>
      <c r="E34" s="49"/>
      <c r="F34" s="36">
        <f t="shared" si="5"/>
        <v>0</v>
      </c>
      <c r="H34" s="28">
        <v>45017</v>
      </c>
      <c r="I34" s="25">
        <f>IF(開始日&gt;H34,0,1)</f>
        <v>1</v>
      </c>
      <c r="J34" s="25">
        <f>IF(開始日&gt;H34,0,1)</f>
        <v>1</v>
      </c>
      <c r="K34" s="25">
        <f>IF(開始日&gt;H34,0,1)</f>
        <v>1</v>
      </c>
      <c r="L34" s="45">
        <f>IF(I34=0,0,C34)</f>
        <v>0</v>
      </c>
      <c r="M34" s="45">
        <f>IF(J34=0,0,D34)</f>
        <v>0</v>
      </c>
      <c r="N34" s="45">
        <f>IF(K34=0,0,E34)</f>
        <v>0</v>
      </c>
      <c r="O34" s="45">
        <f>SUM(L34:N34)</f>
        <v>0</v>
      </c>
      <c r="P34" s="44" t="s">
        <v>151</v>
      </c>
      <c r="Q34" s="45">
        <f>MAX(O34:O42)</f>
        <v>0</v>
      </c>
    </row>
    <row r="35" spans="2:17" ht="17.25" customHeight="1" x14ac:dyDescent="0.4">
      <c r="B35" s="35" t="s">
        <v>100</v>
      </c>
      <c r="C35" s="46"/>
      <c r="D35" s="46"/>
      <c r="E35" s="46"/>
      <c r="F35" s="30">
        <f t="shared" si="5"/>
        <v>0</v>
      </c>
      <c r="H35" s="28">
        <v>45047</v>
      </c>
      <c r="I35" s="25">
        <f>IF(開始日&gt;H35,0,1)</f>
        <v>1</v>
      </c>
      <c r="J35" s="25">
        <f>IF(開始日&gt;H35,0,1)</f>
        <v>1</v>
      </c>
      <c r="K35" s="25">
        <f>IF(開始日&gt;H35,0,1)</f>
        <v>1</v>
      </c>
      <c r="L35" s="45">
        <f t="shared" ref="L35:L42" si="14">IF(I35=0,0,C35)</f>
        <v>0</v>
      </c>
      <c r="M35" s="45">
        <f t="shared" ref="M35:M42" si="15">IF(J35=0,0,D35)</f>
        <v>0</v>
      </c>
      <c r="N35" s="45">
        <f t="shared" ref="N35:N42" si="16">IF(K35=0,0,E35)</f>
        <v>0</v>
      </c>
      <c r="O35" s="45">
        <f t="shared" ref="O35:O42" si="17">SUM(L35:N35)</f>
        <v>0</v>
      </c>
      <c r="P35" s="25" t="s">
        <v>146</v>
      </c>
      <c r="Q35" s="45">
        <f>INDEX(L34:L42,MATCH(Q34,O34:O42,0))</f>
        <v>0</v>
      </c>
    </row>
    <row r="36" spans="2:17" ht="17.25" customHeight="1" x14ac:dyDescent="0.4">
      <c r="B36" s="35" t="s">
        <v>101</v>
      </c>
      <c r="C36" s="46"/>
      <c r="D36" s="46"/>
      <c r="E36" s="46"/>
      <c r="F36" s="30">
        <f t="shared" si="5"/>
        <v>0</v>
      </c>
      <c r="H36" s="28">
        <v>45078</v>
      </c>
      <c r="I36" s="25">
        <f>IF(開始日&gt;H36,0,1)</f>
        <v>1</v>
      </c>
      <c r="J36" s="25">
        <f>IF(開始日&gt;H36,0,1)</f>
        <v>1</v>
      </c>
      <c r="K36" s="25">
        <f>IF(開始日&gt;H36,0,1)</f>
        <v>1</v>
      </c>
      <c r="L36" s="45">
        <f t="shared" si="14"/>
        <v>0</v>
      </c>
      <c r="M36" s="45">
        <f t="shared" si="15"/>
        <v>0</v>
      </c>
      <c r="N36" s="45">
        <f t="shared" si="16"/>
        <v>0</v>
      </c>
      <c r="O36" s="45">
        <f t="shared" si="17"/>
        <v>0</v>
      </c>
      <c r="P36" s="25" t="s">
        <v>147</v>
      </c>
      <c r="Q36" s="45">
        <f>INDEX(M34:M42,MATCH(Q34,O34:O42,0))</f>
        <v>0</v>
      </c>
    </row>
    <row r="37" spans="2:17" ht="17.25" customHeight="1" x14ac:dyDescent="0.4">
      <c r="B37" s="35" t="s">
        <v>102</v>
      </c>
      <c r="C37" s="46"/>
      <c r="D37" s="46"/>
      <c r="E37" s="46"/>
      <c r="F37" s="30">
        <f t="shared" si="5"/>
        <v>0</v>
      </c>
      <c r="H37" s="28">
        <v>45108</v>
      </c>
      <c r="I37" s="25">
        <f>IF(開始日&gt;H37,0,1)</f>
        <v>1</v>
      </c>
      <c r="J37" s="25">
        <f>IF(開始日&gt;H37,0,1)</f>
        <v>1</v>
      </c>
      <c r="K37" s="25">
        <f>IF(開始日&gt;H37,0,1)</f>
        <v>1</v>
      </c>
      <c r="L37" s="45">
        <f t="shared" si="14"/>
        <v>0</v>
      </c>
      <c r="M37" s="45">
        <f t="shared" si="15"/>
        <v>0</v>
      </c>
      <c r="N37" s="45">
        <f t="shared" si="16"/>
        <v>0</v>
      </c>
      <c r="O37" s="45">
        <f t="shared" si="17"/>
        <v>0</v>
      </c>
      <c r="P37" s="25" t="s">
        <v>148</v>
      </c>
      <c r="Q37" s="45">
        <f>INDEX(N34:N42,MATCH(Q34,O34:O42,0))</f>
        <v>0</v>
      </c>
    </row>
    <row r="38" spans="2:17" ht="17.25" customHeight="1" x14ac:dyDescent="0.4">
      <c r="B38" s="35" t="s">
        <v>103</v>
      </c>
      <c r="C38" s="47"/>
      <c r="D38" s="47"/>
      <c r="E38" s="47"/>
      <c r="F38" s="31">
        <f t="shared" si="5"/>
        <v>0</v>
      </c>
      <c r="H38" s="28">
        <v>45139</v>
      </c>
      <c r="I38" s="25">
        <f>IF(開始日&gt;H38,0,1)</f>
        <v>1</v>
      </c>
      <c r="J38" s="25">
        <f>IF(開始日&gt;H38,0,1)</f>
        <v>1</v>
      </c>
      <c r="K38" s="25">
        <f>IF(開始日&gt;H38,0,1)</f>
        <v>1</v>
      </c>
      <c r="L38" s="45">
        <f t="shared" si="14"/>
        <v>0</v>
      </c>
      <c r="M38" s="45">
        <f t="shared" si="15"/>
        <v>0</v>
      </c>
      <c r="N38" s="45">
        <f t="shared" si="16"/>
        <v>0</v>
      </c>
      <c r="O38" s="45">
        <f t="shared" si="17"/>
        <v>0</v>
      </c>
      <c r="P38" s="25" t="s">
        <v>153</v>
      </c>
      <c r="Q38" s="28">
        <f>INDEX(H34:H42,MATCH(Q34,O34:O42,0))</f>
        <v>45017</v>
      </c>
    </row>
    <row r="39" spans="2:17" ht="14.25" hidden="1" customHeight="1" x14ac:dyDescent="0.4">
      <c r="B39" s="35"/>
      <c r="C39" s="47"/>
      <c r="D39" s="47"/>
      <c r="E39" s="47"/>
      <c r="F39" s="31"/>
      <c r="H39" s="28"/>
      <c r="L39" s="45"/>
      <c r="M39" s="45"/>
      <c r="N39" s="45"/>
      <c r="O39" s="45"/>
    </row>
    <row r="40" spans="2:17" ht="17.25" customHeight="1" x14ac:dyDescent="0.4">
      <c r="B40" s="35" t="s">
        <v>143</v>
      </c>
      <c r="C40" s="47"/>
      <c r="D40" s="47"/>
      <c r="E40" s="47"/>
      <c r="F40" s="31">
        <f t="shared" ref="F40:F42" si="18">SUM(C40:E40)</f>
        <v>0</v>
      </c>
      <c r="H40" s="28">
        <v>45170</v>
      </c>
      <c r="I40" s="25">
        <f>IF(開始日&lt;DATE(2023,3,2),0,IF(開始日&gt;H40,0,1))</f>
        <v>0</v>
      </c>
      <c r="J40" s="25">
        <f>IF(開始日&lt;DATE(2023,3,2),0,IF(開始日&gt;H40,0,1))</f>
        <v>0</v>
      </c>
      <c r="K40" s="25">
        <f>IF(開始日&lt;DATE(2023,3,2),0,IF(開始日&gt;H40,0,1))</f>
        <v>0</v>
      </c>
      <c r="L40" s="45">
        <f t="shared" si="14"/>
        <v>0</v>
      </c>
      <c r="M40" s="45">
        <f t="shared" si="15"/>
        <v>0</v>
      </c>
      <c r="N40" s="45">
        <f t="shared" si="16"/>
        <v>0</v>
      </c>
      <c r="O40" s="45">
        <f t="shared" si="17"/>
        <v>0</v>
      </c>
      <c r="Q40" s="25" t="s">
        <v>150</v>
      </c>
    </row>
    <row r="41" spans="2:17" ht="17.25" customHeight="1" x14ac:dyDescent="0.4">
      <c r="B41" s="35" t="s">
        <v>144</v>
      </c>
      <c r="C41" s="47"/>
      <c r="D41" s="47"/>
      <c r="E41" s="47"/>
      <c r="F41" s="31">
        <f t="shared" si="18"/>
        <v>0</v>
      </c>
      <c r="H41" s="28">
        <v>45200</v>
      </c>
      <c r="I41" s="25">
        <f>IF(開始日&lt;DATE(2023,3,2),0,IF(開始日&gt;H41,0,1))</f>
        <v>0</v>
      </c>
      <c r="J41" s="25">
        <f>IF(開始日&lt;DATE(2023,3,2),0,IF(開始日&gt;H41,0,1))</f>
        <v>0</v>
      </c>
      <c r="K41" s="25">
        <f>IF(開始日&lt;DATE(2023,3,2),0,IF(開始日&gt;H41,0,1))</f>
        <v>0</v>
      </c>
      <c r="L41" s="45">
        <f t="shared" si="14"/>
        <v>0</v>
      </c>
      <c r="M41" s="45">
        <f t="shared" si="15"/>
        <v>0</v>
      </c>
      <c r="N41" s="45">
        <f t="shared" si="16"/>
        <v>0</v>
      </c>
      <c r="O41" s="45">
        <f t="shared" si="17"/>
        <v>0</v>
      </c>
      <c r="P41" s="25" t="s">
        <v>151</v>
      </c>
      <c r="Q41" s="45">
        <f>IF(COUNTIF(O34:O42,"&gt;0")=0,0,SMALL(O34:O42,COUNTIF(O34:O42,0)+1))</f>
        <v>0</v>
      </c>
    </row>
    <row r="42" spans="2:17" ht="17.25" customHeight="1" thickBot="1" x14ac:dyDescent="0.45">
      <c r="B42" s="35" t="s">
        <v>145</v>
      </c>
      <c r="C42" s="47"/>
      <c r="D42" s="47"/>
      <c r="E42" s="47"/>
      <c r="F42" s="31">
        <f t="shared" si="18"/>
        <v>0</v>
      </c>
      <c r="H42" s="28">
        <v>45231</v>
      </c>
      <c r="I42" s="25">
        <f>IF(開始日&lt;DATE(2023,3,2),0,IF(開始日&gt;H42,0,1))</f>
        <v>0</v>
      </c>
      <c r="J42" s="25">
        <f>IF(開始日&lt;DATE(2023,3,2),0,IF(開始日&gt;H42,0,1))</f>
        <v>0</v>
      </c>
      <c r="K42" s="25">
        <f>IF(開始日&lt;DATE(2023,3,2),0,IF(開始日&gt;H42,0,1))</f>
        <v>0</v>
      </c>
      <c r="L42" s="45">
        <f t="shared" si="14"/>
        <v>0</v>
      </c>
      <c r="M42" s="45">
        <f t="shared" si="15"/>
        <v>0</v>
      </c>
      <c r="N42" s="45">
        <f t="shared" si="16"/>
        <v>0</v>
      </c>
      <c r="O42" s="45">
        <f t="shared" si="17"/>
        <v>0</v>
      </c>
      <c r="P42" s="25" t="s">
        <v>146</v>
      </c>
      <c r="Q42" s="45">
        <f>INDEX(L34:L42,MATCH(Q41,O34:O42,0))</f>
        <v>0</v>
      </c>
    </row>
    <row r="43" spans="2:17" ht="17.25" customHeight="1" thickBot="1" x14ac:dyDescent="0.45">
      <c r="B43" s="32" t="s">
        <v>104</v>
      </c>
      <c r="C43" s="33">
        <f>SUM(C34:C38)</f>
        <v>0</v>
      </c>
      <c r="D43" s="33">
        <f>SUM(D34:D38)</f>
        <v>0</v>
      </c>
      <c r="E43" s="33">
        <f>SUM(E34:E38)</f>
        <v>0</v>
      </c>
      <c r="F43" s="34">
        <f t="shared" si="5"/>
        <v>0</v>
      </c>
      <c r="P43" s="25" t="s">
        <v>147</v>
      </c>
      <c r="Q43" s="45">
        <f>INDEX(M34:M42,MATCH(Q41,O34:O42,0))</f>
        <v>0</v>
      </c>
    </row>
    <row r="44" spans="2:17" ht="17.25" customHeight="1" thickBot="1" x14ac:dyDescent="0.45">
      <c r="B44" s="32" t="s">
        <v>118</v>
      </c>
      <c r="C44" s="33">
        <f>C43*12/5</f>
        <v>0</v>
      </c>
      <c r="D44" s="33">
        <f>D43*12/5</f>
        <v>0</v>
      </c>
      <c r="E44" s="33">
        <f>E43*12/5</f>
        <v>0</v>
      </c>
      <c r="F44" s="34">
        <f t="shared" si="5"/>
        <v>0</v>
      </c>
      <c r="P44" s="25" t="s">
        <v>148</v>
      </c>
      <c r="Q44" s="45">
        <f>INDEX(N34:N42,MATCH(Q41,O34:O42,0))</f>
        <v>0</v>
      </c>
    </row>
    <row r="45" spans="2:17" ht="17.25" customHeight="1" x14ac:dyDescent="0.4">
      <c r="B45" s="42" t="str">
        <f>IF(AND(F18&gt;0,F19&gt;0,F18&lt;&gt;F19),"エラー：令和3年度分　月額合計と年度計直接入力の金額に差異あり！！！","")</f>
        <v/>
      </c>
      <c r="P45" s="25" t="s">
        <v>153</v>
      </c>
      <c r="Q45" s="28">
        <f>INDEX(H34:H42,MATCH(Q41,O34:O42,0))</f>
        <v>45017</v>
      </c>
    </row>
    <row r="46" spans="2:17" ht="17.25" customHeight="1" x14ac:dyDescent="0.4">
      <c r="B46" s="42" t="str">
        <f>IF(AND(F32&gt;0,F33&gt;0,F32&lt;&gt;F33),"エラー：令和4年度分　月額合計と年度計直接入力の金額に差異あり！！！","")</f>
        <v/>
      </c>
    </row>
  </sheetData>
  <sheetProtection password="F728" sheet="1" selectLockedCells="1"/>
  <mergeCells count="1">
    <mergeCell ref="C4:F4"/>
  </mergeCells>
  <phoneticPr fontId="1"/>
  <conditionalFormatting sqref="C6:C17">
    <cfRule type="expression" dxfId="8" priority="9">
      <formula>IF($Q$6="入所施設1",I6=1,L6=1)</formula>
    </cfRule>
  </conditionalFormatting>
  <conditionalFormatting sqref="D6:D17">
    <cfRule type="expression" dxfId="7" priority="8">
      <formula>IF($Q$6="入所施設1",J6=1,M6=1)</formula>
    </cfRule>
  </conditionalFormatting>
  <conditionalFormatting sqref="E6:E17">
    <cfRule type="expression" dxfId="6" priority="7">
      <formula>IF($Q$6="入所施設1",K6=1,N6=1)</formula>
    </cfRule>
  </conditionalFormatting>
  <conditionalFormatting sqref="C20:C31">
    <cfRule type="expression" dxfId="5" priority="6">
      <formula>IF($Q$6="入所施設1",I20=1,L20=1)</formula>
    </cfRule>
  </conditionalFormatting>
  <conditionalFormatting sqref="D20:D31">
    <cfRule type="expression" dxfId="4" priority="5">
      <formula>IF($Q$6="入所施設1",J20=1,M20=1)</formula>
    </cfRule>
  </conditionalFormatting>
  <conditionalFormatting sqref="E20:E31">
    <cfRule type="expression" dxfId="3" priority="4">
      <formula>IF($Q$6="入所施設1",K20=1,N20=1)</formula>
    </cfRule>
  </conditionalFormatting>
  <conditionalFormatting sqref="C34:C42">
    <cfRule type="expression" dxfId="2" priority="3">
      <formula>I34=1</formula>
    </cfRule>
  </conditionalFormatting>
  <conditionalFormatting sqref="D34:D42">
    <cfRule type="expression" dxfId="1" priority="2">
      <formula>J34=1</formula>
    </cfRule>
  </conditionalFormatting>
  <conditionalFormatting sqref="E34:E42">
    <cfRule type="expression" dxfId="0" priority="1">
      <formula>K34=1</formula>
    </cfRule>
  </conditionalFormatting>
  <dataValidations count="3">
    <dataValidation type="whole" imeMode="off" allowBlank="1" showInputMessage="1" showErrorMessage="1" errorTitle="費用エラー" error="各費用は数字（整数）で入力してください。_x000a_（999,999,999まで）" sqref="C33:E42">
      <formula1>0</formula1>
      <formula2>999999999</formula2>
    </dataValidation>
    <dataValidation type="whole" imeMode="off" allowBlank="1" showInputMessage="1" showErrorMessage="1" errorTitle="費用エラー" error="各費用は、数字（整数）で入力してください。_x000a_（999,999,999まで）" sqref="C6:E17">
      <formula1>0</formula1>
      <formula2>999999999</formula2>
    </dataValidation>
    <dataValidation type="whole" imeMode="off" allowBlank="1" showInputMessage="1" showErrorMessage="1" errorTitle="費用エラー" error="各費用は数字（整数）で入力してください。_x000a_（999,999,999まで）" sqref="C19:E31">
      <formula1>0</formula1>
      <formula2>999999999</formula2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ignoredErrors>
    <ignoredError sqref="C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3"/>
  <sheetViews>
    <sheetView topLeftCell="B1" workbookViewId="0">
      <pane ySplit="3" topLeftCell="A13" activePane="bottomLeft" state="frozen"/>
      <selection pane="bottomLeft" activeCell="Q11" sqref="Q11"/>
    </sheetView>
  </sheetViews>
  <sheetFormatPr defaultRowHeight="16.5" customHeight="1" x14ac:dyDescent="0.4"/>
  <cols>
    <col min="1" max="1" width="17.125" style="2" customWidth="1"/>
    <col min="2" max="2" width="12.125" style="2" customWidth="1"/>
    <col min="3" max="3" width="30.625" style="2" customWidth="1"/>
    <col min="4" max="4" width="14.875" style="2" customWidth="1"/>
    <col min="5" max="6" width="12.25" style="2" customWidth="1"/>
    <col min="7" max="7" width="10.75" style="2" customWidth="1"/>
    <col min="8" max="13" width="10.25" style="2" customWidth="1"/>
    <col min="14" max="16" width="9" style="2"/>
    <col min="17" max="17" width="17.25" style="2" customWidth="1"/>
    <col min="18" max="18" width="16.5" style="2" customWidth="1"/>
    <col min="19" max="16384" width="9" style="2"/>
  </cols>
  <sheetData>
    <row r="1" spans="1:20" ht="16.5" customHeight="1" x14ac:dyDescent="0.4">
      <c r="H1" s="112" t="s">
        <v>111</v>
      </c>
      <c r="I1" s="112"/>
      <c r="J1" s="112"/>
      <c r="K1" s="112"/>
      <c r="L1" s="112"/>
      <c r="M1" s="112"/>
    </row>
    <row r="2" spans="1:20" ht="16.5" customHeight="1" x14ac:dyDescent="0.4">
      <c r="A2" s="2" t="s">
        <v>45</v>
      </c>
      <c r="H2" s="113" t="s">
        <v>108</v>
      </c>
      <c r="I2" s="113"/>
      <c r="J2" s="113" t="s">
        <v>109</v>
      </c>
      <c r="K2" s="113"/>
      <c r="L2" s="113" t="s">
        <v>110</v>
      </c>
      <c r="M2" s="113"/>
      <c r="Q2" s="2" t="s">
        <v>40</v>
      </c>
    </row>
    <row r="3" spans="1:20" ht="21" customHeight="1" x14ac:dyDescent="0.4">
      <c r="A3" s="17" t="s">
        <v>27</v>
      </c>
      <c r="B3" s="3" t="s">
        <v>8</v>
      </c>
      <c r="C3" s="3" t="s">
        <v>9</v>
      </c>
      <c r="D3" s="3" t="s">
        <v>39</v>
      </c>
      <c r="E3" s="3" t="s">
        <v>46</v>
      </c>
      <c r="F3" s="3" t="s">
        <v>129</v>
      </c>
      <c r="G3" s="3" t="s">
        <v>136</v>
      </c>
      <c r="H3" s="3" t="s">
        <v>10</v>
      </c>
      <c r="I3" s="3" t="s">
        <v>12</v>
      </c>
      <c r="J3" s="3" t="s">
        <v>10</v>
      </c>
      <c r="K3" s="3" t="s">
        <v>12</v>
      </c>
      <c r="L3" s="3" t="s">
        <v>10</v>
      </c>
      <c r="M3" s="3" t="s">
        <v>12</v>
      </c>
      <c r="Q3" s="2" t="s">
        <v>27</v>
      </c>
      <c r="R3" s="2" t="s">
        <v>28</v>
      </c>
      <c r="S3" s="2" t="s">
        <v>43</v>
      </c>
      <c r="T3" s="2" t="s">
        <v>44</v>
      </c>
    </row>
    <row r="4" spans="1:20" ht="16.5" customHeight="1" x14ac:dyDescent="0.4">
      <c r="A4" s="7" t="s">
        <v>11</v>
      </c>
      <c r="B4" s="4" t="s">
        <v>131</v>
      </c>
      <c r="C4" s="4" t="s">
        <v>119</v>
      </c>
      <c r="D4" s="4" t="str">
        <f t="shared" ref="D4:D43" si="0">A4&amp;B4&amp;C4</f>
        <v>高齢者施設等入所施設特別養護老人ホーム(介護老人福祉施設)</v>
      </c>
      <c r="E4" s="5">
        <v>2300</v>
      </c>
      <c r="F4" s="5" t="s">
        <v>107</v>
      </c>
      <c r="G4" s="5" t="s">
        <v>140</v>
      </c>
      <c r="H4" s="5">
        <v>200000</v>
      </c>
      <c r="I4" s="5">
        <v>10000</v>
      </c>
      <c r="J4" s="5">
        <v>400000</v>
      </c>
      <c r="K4" s="5">
        <v>10000</v>
      </c>
      <c r="L4" s="1">
        <v>400000</v>
      </c>
      <c r="M4" s="1">
        <v>10000</v>
      </c>
      <c r="Q4" s="2" t="s">
        <v>29</v>
      </c>
      <c r="R4" s="2" t="s">
        <v>131</v>
      </c>
      <c r="T4" s="2" t="s">
        <v>41</v>
      </c>
    </row>
    <row r="5" spans="1:20" ht="16.5" customHeight="1" x14ac:dyDescent="0.4">
      <c r="A5" s="7" t="s">
        <v>11</v>
      </c>
      <c r="B5" s="4" t="s">
        <v>131</v>
      </c>
      <c r="C5" s="4" t="s">
        <v>47</v>
      </c>
      <c r="D5" s="4" t="str">
        <f t="shared" si="0"/>
        <v>高齢者施設等入所施設介護老人保健施設</v>
      </c>
      <c r="E5" s="5">
        <v>2300</v>
      </c>
      <c r="F5" s="5" t="s">
        <v>132</v>
      </c>
      <c r="G5" s="5" t="s">
        <v>140</v>
      </c>
      <c r="H5" s="5">
        <v>200000</v>
      </c>
      <c r="I5" s="5">
        <v>10000</v>
      </c>
      <c r="J5" s="5">
        <v>400000</v>
      </c>
      <c r="K5" s="5">
        <v>10000</v>
      </c>
      <c r="L5" s="1">
        <v>400000</v>
      </c>
      <c r="M5" s="1">
        <v>10000</v>
      </c>
      <c r="Q5" s="2" t="s">
        <v>20</v>
      </c>
      <c r="R5" s="2" t="s">
        <v>13</v>
      </c>
      <c r="T5" s="2" t="s">
        <v>42</v>
      </c>
    </row>
    <row r="6" spans="1:20" ht="16.5" customHeight="1" x14ac:dyDescent="0.4">
      <c r="A6" s="7" t="s">
        <v>11</v>
      </c>
      <c r="B6" s="4" t="s">
        <v>131</v>
      </c>
      <c r="C6" s="4" t="s">
        <v>48</v>
      </c>
      <c r="D6" s="4" t="str">
        <f t="shared" si="0"/>
        <v>高齢者施設等入所施設介護医療院</v>
      </c>
      <c r="E6" s="5">
        <v>2300</v>
      </c>
      <c r="F6" s="5" t="s">
        <v>132</v>
      </c>
      <c r="G6" s="5" t="s">
        <v>142</v>
      </c>
      <c r="H6" s="5">
        <v>200000</v>
      </c>
      <c r="I6" s="5">
        <v>10000</v>
      </c>
      <c r="J6" s="5">
        <v>400000</v>
      </c>
      <c r="K6" s="5">
        <v>10000</v>
      </c>
      <c r="L6" s="1">
        <v>400000</v>
      </c>
      <c r="M6" s="1">
        <v>10000</v>
      </c>
    </row>
    <row r="7" spans="1:20" ht="16.5" customHeight="1" x14ac:dyDescent="0.4">
      <c r="A7" s="7" t="s">
        <v>11</v>
      </c>
      <c r="B7" s="4" t="s">
        <v>131</v>
      </c>
      <c r="C7" s="4" t="s">
        <v>49</v>
      </c>
      <c r="D7" s="4" t="str">
        <f t="shared" si="0"/>
        <v>高齢者施設等入所施設介護療養型医療施設</v>
      </c>
      <c r="E7" s="5">
        <v>2300</v>
      </c>
      <c r="F7" s="5" t="s">
        <v>132</v>
      </c>
      <c r="G7" s="5" t="s">
        <v>142</v>
      </c>
      <c r="H7" s="5">
        <v>200000</v>
      </c>
      <c r="I7" s="5">
        <v>10000</v>
      </c>
      <c r="J7" s="5">
        <v>200000</v>
      </c>
      <c r="K7" s="5">
        <v>10000</v>
      </c>
      <c r="L7" s="1">
        <v>200000</v>
      </c>
      <c r="M7" s="1">
        <v>10000</v>
      </c>
    </row>
    <row r="8" spans="1:20" ht="16.5" customHeight="1" x14ac:dyDescent="0.4">
      <c r="A8" s="7" t="s">
        <v>11</v>
      </c>
      <c r="B8" s="4" t="s">
        <v>131</v>
      </c>
      <c r="C8" s="4" t="s">
        <v>50</v>
      </c>
      <c r="D8" s="4" t="str">
        <f t="shared" si="0"/>
        <v>高齢者施設等入所施設短期入所生活介護</v>
      </c>
      <c r="E8" s="5">
        <v>2300</v>
      </c>
      <c r="F8" s="5" t="s">
        <v>132</v>
      </c>
      <c r="G8" s="5" t="s">
        <v>142</v>
      </c>
      <c r="H8" s="5">
        <v>200000</v>
      </c>
      <c r="I8" s="5">
        <v>10000</v>
      </c>
      <c r="J8" s="5">
        <v>200000</v>
      </c>
      <c r="K8" s="5">
        <v>10000</v>
      </c>
      <c r="L8" s="1">
        <v>200000</v>
      </c>
      <c r="M8" s="1">
        <v>10000</v>
      </c>
    </row>
    <row r="9" spans="1:20" ht="16.5" customHeight="1" x14ac:dyDescent="0.4">
      <c r="A9" s="7" t="s">
        <v>11</v>
      </c>
      <c r="B9" s="4" t="s">
        <v>131</v>
      </c>
      <c r="C9" s="4" t="s">
        <v>51</v>
      </c>
      <c r="D9" s="4" t="str">
        <f t="shared" si="0"/>
        <v>高齢者施設等入所施設短期入所療養介護</v>
      </c>
      <c r="E9" s="5">
        <v>2300</v>
      </c>
      <c r="F9" s="5" t="s">
        <v>132</v>
      </c>
      <c r="G9" s="5" t="s">
        <v>142</v>
      </c>
      <c r="H9" s="5">
        <v>200000</v>
      </c>
      <c r="I9" s="5">
        <v>10000</v>
      </c>
      <c r="J9" s="5">
        <v>200000</v>
      </c>
      <c r="K9" s="5">
        <v>10000</v>
      </c>
      <c r="L9" s="1">
        <v>200000</v>
      </c>
      <c r="M9" s="1">
        <v>10000</v>
      </c>
    </row>
    <row r="10" spans="1:20" ht="16.5" customHeight="1" x14ac:dyDescent="0.4">
      <c r="A10" s="7" t="s">
        <v>11</v>
      </c>
      <c r="B10" s="4" t="s">
        <v>131</v>
      </c>
      <c r="C10" s="4" t="s">
        <v>54</v>
      </c>
      <c r="D10" s="4" t="str">
        <f t="shared" si="0"/>
        <v>高齢者施設等入所施設養護老人ホーム</v>
      </c>
      <c r="E10" s="5">
        <v>2300</v>
      </c>
      <c r="F10" s="5" t="s">
        <v>132</v>
      </c>
      <c r="G10" s="5" t="s">
        <v>142</v>
      </c>
      <c r="H10" s="5">
        <v>200000</v>
      </c>
      <c r="I10" s="5">
        <v>10000</v>
      </c>
      <c r="J10" s="5">
        <v>400000</v>
      </c>
      <c r="K10" s="5">
        <v>10000</v>
      </c>
      <c r="L10" s="1">
        <v>400000</v>
      </c>
      <c r="M10" s="1">
        <v>10000</v>
      </c>
    </row>
    <row r="11" spans="1:20" ht="16.5" customHeight="1" x14ac:dyDescent="0.4">
      <c r="A11" s="7" t="s">
        <v>11</v>
      </c>
      <c r="B11" s="4" t="s">
        <v>131</v>
      </c>
      <c r="C11" s="4" t="s">
        <v>55</v>
      </c>
      <c r="D11" s="4" t="str">
        <f t="shared" si="0"/>
        <v>高齢者施設等入所施設軽費老人ホーム</v>
      </c>
      <c r="E11" s="5">
        <v>2300</v>
      </c>
      <c r="F11" s="5" t="s">
        <v>132</v>
      </c>
      <c r="G11" s="5" t="s">
        <v>142</v>
      </c>
      <c r="H11" s="5">
        <v>200000</v>
      </c>
      <c r="I11" s="5">
        <v>10000</v>
      </c>
      <c r="J11" s="5">
        <v>400000</v>
      </c>
      <c r="K11" s="5">
        <v>10000</v>
      </c>
      <c r="L11" s="1">
        <v>400000</v>
      </c>
      <c r="M11" s="1">
        <v>10000</v>
      </c>
    </row>
    <row r="12" spans="1:20" ht="16.5" customHeight="1" x14ac:dyDescent="0.4">
      <c r="A12" s="7" t="s">
        <v>11</v>
      </c>
      <c r="B12" s="4" t="s">
        <v>131</v>
      </c>
      <c r="C12" s="4" t="s">
        <v>52</v>
      </c>
      <c r="D12" s="4" t="str">
        <f t="shared" si="0"/>
        <v>高齢者施設等入所施設特定施設入居者生活介護</v>
      </c>
      <c r="E12" s="5">
        <v>1500</v>
      </c>
      <c r="F12" s="5" t="s">
        <v>128</v>
      </c>
      <c r="G12" s="5" t="s">
        <v>142</v>
      </c>
      <c r="H12" s="5">
        <v>200000</v>
      </c>
      <c r="I12" s="5">
        <v>10000</v>
      </c>
      <c r="J12" s="5">
        <v>400000</v>
      </c>
      <c r="K12" s="5">
        <v>10000</v>
      </c>
      <c r="L12" s="1">
        <v>400000</v>
      </c>
      <c r="M12" s="1">
        <v>10000</v>
      </c>
    </row>
    <row r="13" spans="1:20" ht="16.5" customHeight="1" x14ac:dyDescent="0.4">
      <c r="A13" s="7" t="s">
        <v>11</v>
      </c>
      <c r="B13" s="4" t="s">
        <v>131</v>
      </c>
      <c r="C13" s="4" t="s">
        <v>53</v>
      </c>
      <c r="D13" s="4" t="str">
        <f t="shared" si="0"/>
        <v>高齢者施設等入所施設認知症対応型共同生活介護(ＧＨ)</v>
      </c>
      <c r="E13" s="39">
        <v>1500</v>
      </c>
      <c r="F13" s="39" t="s">
        <v>133</v>
      </c>
      <c r="G13" s="39" t="s">
        <v>142</v>
      </c>
      <c r="H13" s="5">
        <v>200000</v>
      </c>
      <c r="I13" s="5">
        <v>10000</v>
      </c>
      <c r="J13" s="5">
        <v>200000</v>
      </c>
      <c r="K13" s="5">
        <v>10000</v>
      </c>
      <c r="L13" s="1">
        <v>200000</v>
      </c>
      <c r="M13" s="1">
        <v>10000</v>
      </c>
    </row>
    <row r="14" spans="1:20" ht="16.5" customHeight="1" x14ac:dyDescent="0.4">
      <c r="A14" s="7" t="s">
        <v>11</v>
      </c>
      <c r="B14" s="4" t="s">
        <v>130</v>
      </c>
      <c r="C14" s="4" t="s">
        <v>120</v>
      </c>
      <c r="D14" s="4" t="str">
        <f t="shared" si="0"/>
        <v>高齢者施設等入所施設小規模多機能型居宅介護(宿泊)</v>
      </c>
      <c r="E14" s="39">
        <v>1500</v>
      </c>
      <c r="F14" s="39" t="s">
        <v>134</v>
      </c>
      <c r="G14" s="39" t="s">
        <v>142</v>
      </c>
      <c r="H14" s="5">
        <v>0</v>
      </c>
      <c r="I14" s="5">
        <v>0</v>
      </c>
      <c r="J14" s="5">
        <v>0</v>
      </c>
      <c r="K14" s="5">
        <v>0</v>
      </c>
      <c r="L14" s="1">
        <v>0</v>
      </c>
      <c r="M14" s="1">
        <v>0</v>
      </c>
    </row>
    <row r="15" spans="1:20" ht="16.5" customHeight="1" x14ac:dyDescent="0.4">
      <c r="A15" s="7" t="s">
        <v>11</v>
      </c>
      <c r="B15" s="4" t="s">
        <v>130</v>
      </c>
      <c r="C15" s="6" t="s">
        <v>121</v>
      </c>
      <c r="D15" s="4" t="str">
        <f t="shared" si="0"/>
        <v>高齢者施設等入所施設看護小規模多機能型居宅介護(宿泊)</v>
      </c>
      <c r="E15" s="39">
        <v>1500</v>
      </c>
      <c r="F15" s="39" t="s">
        <v>134</v>
      </c>
      <c r="G15" s="39" t="s">
        <v>142</v>
      </c>
      <c r="H15" s="5">
        <v>0</v>
      </c>
      <c r="I15" s="5">
        <v>0</v>
      </c>
      <c r="J15" s="5">
        <v>0</v>
      </c>
      <c r="K15" s="5">
        <v>0</v>
      </c>
      <c r="L15" s="1">
        <v>0</v>
      </c>
      <c r="M15" s="1">
        <v>0</v>
      </c>
    </row>
    <row r="16" spans="1:20" ht="16.5" customHeight="1" x14ac:dyDescent="0.4">
      <c r="A16" s="7" t="s">
        <v>11</v>
      </c>
      <c r="B16" s="4" t="s">
        <v>13</v>
      </c>
      <c r="C16" s="4" t="s">
        <v>56</v>
      </c>
      <c r="D16" s="4" t="str">
        <f t="shared" si="0"/>
        <v>高齢者施設等通所施設通所介護</v>
      </c>
      <c r="E16" s="39">
        <v>1500</v>
      </c>
      <c r="F16" s="39" t="s">
        <v>13</v>
      </c>
      <c r="G16" s="39"/>
      <c r="H16" s="5">
        <v>120000</v>
      </c>
      <c r="I16" s="5">
        <v>0</v>
      </c>
      <c r="J16" s="5">
        <v>120000</v>
      </c>
      <c r="K16" s="5">
        <v>0</v>
      </c>
      <c r="L16" s="1">
        <v>120000</v>
      </c>
      <c r="M16" s="1">
        <v>0</v>
      </c>
    </row>
    <row r="17" spans="1:13" ht="16.5" customHeight="1" x14ac:dyDescent="0.4">
      <c r="A17" s="7" t="s">
        <v>11</v>
      </c>
      <c r="B17" s="4" t="s">
        <v>13</v>
      </c>
      <c r="C17" s="4" t="s">
        <v>57</v>
      </c>
      <c r="D17" s="4" t="str">
        <f t="shared" si="0"/>
        <v>高齢者施設等通所施設通所リハビリテーション</v>
      </c>
      <c r="E17" s="39">
        <v>1500</v>
      </c>
      <c r="F17" s="39" t="s">
        <v>13</v>
      </c>
      <c r="G17" s="39"/>
      <c r="H17" s="5">
        <v>120000</v>
      </c>
      <c r="I17" s="5">
        <v>0</v>
      </c>
      <c r="J17" s="5">
        <v>120000</v>
      </c>
      <c r="K17" s="5">
        <v>0</v>
      </c>
      <c r="L17" s="1">
        <v>120000</v>
      </c>
      <c r="M17" s="1">
        <v>0</v>
      </c>
    </row>
    <row r="18" spans="1:13" ht="16.5" customHeight="1" x14ac:dyDescent="0.4">
      <c r="A18" s="7" t="s">
        <v>11</v>
      </c>
      <c r="B18" s="4" t="s">
        <v>13</v>
      </c>
      <c r="C18" s="4" t="s">
        <v>122</v>
      </c>
      <c r="D18" s="4" t="str">
        <f t="shared" si="0"/>
        <v>高齢者施設等通所施設小規模多機能型居宅介護(通い)</v>
      </c>
      <c r="E18" s="39">
        <v>1500</v>
      </c>
      <c r="F18" s="39" t="s">
        <v>13</v>
      </c>
      <c r="G18" s="39"/>
      <c r="H18" s="5">
        <v>120000</v>
      </c>
      <c r="I18" s="5">
        <v>0</v>
      </c>
      <c r="J18" s="5">
        <v>120000</v>
      </c>
      <c r="K18" s="5">
        <v>0</v>
      </c>
      <c r="L18" s="1">
        <v>120000</v>
      </c>
      <c r="M18" s="1">
        <v>0</v>
      </c>
    </row>
    <row r="19" spans="1:13" ht="16.5" customHeight="1" x14ac:dyDescent="0.4">
      <c r="A19" s="7" t="s">
        <v>11</v>
      </c>
      <c r="B19" s="4" t="s">
        <v>13</v>
      </c>
      <c r="C19" s="4" t="s">
        <v>123</v>
      </c>
      <c r="D19" s="4" t="str">
        <f t="shared" si="0"/>
        <v>高齢者施設等通所施設看護小規模多機能型居宅介護(通い)</v>
      </c>
      <c r="E19" s="39">
        <v>1500</v>
      </c>
      <c r="F19" s="39" t="s">
        <v>13</v>
      </c>
      <c r="G19" s="39"/>
      <c r="H19" s="5">
        <v>120000</v>
      </c>
      <c r="I19" s="5">
        <v>0</v>
      </c>
      <c r="J19" s="5">
        <v>120000</v>
      </c>
      <c r="K19" s="5">
        <v>0</v>
      </c>
      <c r="L19" s="1">
        <v>120000</v>
      </c>
      <c r="M19" s="1">
        <v>0</v>
      </c>
    </row>
    <row r="20" spans="1:13" ht="16.5" customHeight="1" x14ac:dyDescent="0.4">
      <c r="A20" s="7" t="s">
        <v>11</v>
      </c>
      <c r="B20" s="4" t="s">
        <v>13</v>
      </c>
      <c r="C20" s="4" t="s">
        <v>58</v>
      </c>
      <c r="D20" s="4" t="str">
        <f t="shared" si="0"/>
        <v>高齢者施設等通所施設認知症対応型通所介護</v>
      </c>
      <c r="E20" s="39">
        <v>1500</v>
      </c>
      <c r="F20" s="39" t="s">
        <v>13</v>
      </c>
      <c r="G20" s="39"/>
      <c r="H20" s="5">
        <v>120000</v>
      </c>
      <c r="I20" s="5">
        <v>0</v>
      </c>
      <c r="J20" s="5">
        <v>120000</v>
      </c>
      <c r="K20" s="5">
        <v>0</v>
      </c>
      <c r="L20" s="1">
        <v>120000</v>
      </c>
      <c r="M20" s="1">
        <v>0</v>
      </c>
    </row>
    <row r="21" spans="1:13" ht="16.5" customHeight="1" x14ac:dyDescent="0.4">
      <c r="A21" s="7" t="s">
        <v>11</v>
      </c>
      <c r="B21" s="4" t="s">
        <v>13</v>
      </c>
      <c r="C21" s="4" t="s">
        <v>59</v>
      </c>
      <c r="D21" s="4" t="str">
        <f t="shared" si="0"/>
        <v>高齢者施設等通所施設地域密着型通所介護</v>
      </c>
      <c r="E21" s="5">
        <v>1500</v>
      </c>
      <c r="F21" s="5" t="s">
        <v>13</v>
      </c>
      <c r="G21" s="5"/>
      <c r="H21" s="5">
        <v>120000</v>
      </c>
      <c r="I21" s="5">
        <v>0</v>
      </c>
      <c r="J21" s="5">
        <v>120000</v>
      </c>
      <c r="K21" s="5">
        <v>0</v>
      </c>
      <c r="L21" s="1">
        <v>120000</v>
      </c>
      <c r="M21" s="1">
        <v>0</v>
      </c>
    </row>
    <row r="22" spans="1:13" ht="16.5" customHeight="1" x14ac:dyDescent="0.4">
      <c r="A22" s="7" t="s">
        <v>11</v>
      </c>
      <c r="B22" s="4" t="s">
        <v>13</v>
      </c>
      <c r="C22" s="4" t="s">
        <v>124</v>
      </c>
      <c r="D22" s="4" t="str">
        <f t="shared" si="0"/>
        <v>高齢者施設等通所施設第１号通所事業所</v>
      </c>
      <c r="E22" s="5">
        <v>1500</v>
      </c>
      <c r="F22" s="5" t="s">
        <v>13</v>
      </c>
      <c r="G22" s="5"/>
      <c r="H22" s="5">
        <v>0</v>
      </c>
      <c r="I22" s="5">
        <v>0</v>
      </c>
      <c r="J22" s="5">
        <v>0</v>
      </c>
      <c r="K22" s="5">
        <v>0</v>
      </c>
      <c r="L22" s="1">
        <v>0</v>
      </c>
      <c r="M22" s="1">
        <v>0</v>
      </c>
    </row>
    <row r="23" spans="1:13" ht="16.5" customHeight="1" x14ac:dyDescent="0.4">
      <c r="A23" s="7" t="s">
        <v>20</v>
      </c>
      <c r="B23" s="4" t="s">
        <v>131</v>
      </c>
      <c r="C23" s="4" t="s">
        <v>14</v>
      </c>
      <c r="D23" s="4" t="str">
        <f t="shared" si="0"/>
        <v>障害福祉施設等入所施設施設入所支援</v>
      </c>
      <c r="E23" s="5">
        <v>2300</v>
      </c>
      <c r="F23" s="5" t="s">
        <v>107</v>
      </c>
      <c r="G23" s="5" t="s">
        <v>140</v>
      </c>
      <c r="H23" s="5">
        <v>200000</v>
      </c>
      <c r="I23" s="5">
        <v>10000</v>
      </c>
      <c r="J23" s="5">
        <v>200000</v>
      </c>
      <c r="K23" s="5">
        <v>10000</v>
      </c>
      <c r="L23" s="1">
        <v>200000</v>
      </c>
      <c r="M23" s="1">
        <v>10000</v>
      </c>
    </row>
    <row r="24" spans="1:13" ht="16.5" customHeight="1" x14ac:dyDescent="0.4">
      <c r="A24" s="7" t="s">
        <v>20</v>
      </c>
      <c r="B24" s="7" t="s">
        <v>131</v>
      </c>
      <c r="C24" s="7" t="s">
        <v>15</v>
      </c>
      <c r="D24" s="4" t="str">
        <f t="shared" si="0"/>
        <v>障害福祉施設等入所施設共同生活援助</v>
      </c>
      <c r="E24" s="5">
        <v>2300</v>
      </c>
      <c r="F24" s="5" t="s">
        <v>132</v>
      </c>
      <c r="G24" s="5" t="s">
        <v>141</v>
      </c>
      <c r="H24" s="1">
        <v>200000</v>
      </c>
      <c r="I24" s="1">
        <v>10000</v>
      </c>
      <c r="J24" s="1">
        <v>400000</v>
      </c>
      <c r="K24" s="1">
        <v>10000</v>
      </c>
      <c r="L24" s="1">
        <v>0</v>
      </c>
      <c r="M24" s="1">
        <v>0</v>
      </c>
    </row>
    <row r="25" spans="1:13" ht="16.5" customHeight="1" x14ac:dyDescent="0.4">
      <c r="A25" s="7" t="s">
        <v>20</v>
      </c>
      <c r="B25" s="7" t="s">
        <v>131</v>
      </c>
      <c r="C25" s="7" t="s">
        <v>16</v>
      </c>
      <c r="D25" s="4" t="str">
        <f t="shared" si="0"/>
        <v>障害福祉施設等入所施設福祉型障害児入所施設</v>
      </c>
      <c r="E25" s="5">
        <v>2300</v>
      </c>
      <c r="F25" s="5" t="s">
        <v>132</v>
      </c>
      <c r="G25" s="5" t="s">
        <v>139</v>
      </c>
      <c r="H25" s="1">
        <v>200000</v>
      </c>
      <c r="I25" s="1">
        <v>10000</v>
      </c>
      <c r="J25" s="1">
        <v>200000</v>
      </c>
      <c r="K25" s="1">
        <v>10000</v>
      </c>
      <c r="L25" s="1">
        <v>200000</v>
      </c>
      <c r="M25" s="1">
        <v>10000</v>
      </c>
    </row>
    <row r="26" spans="1:13" ht="16.5" customHeight="1" x14ac:dyDescent="0.4">
      <c r="A26" s="7" t="s">
        <v>20</v>
      </c>
      <c r="B26" s="7" t="s">
        <v>131</v>
      </c>
      <c r="C26" s="7" t="s">
        <v>17</v>
      </c>
      <c r="D26" s="4" t="str">
        <f t="shared" si="0"/>
        <v>障害福祉施設等入所施設医療型障害児入所施設</v>
      </c>
      <c r="E26" s="5">
        <v>2300</v>
      </c>
      <c r="F26" s="5" t="s">
        <v>132</v>
      </c>
      <c r="G26" s="5" t="s">
        <v>139</v>
      </c>
      <c r="H26" s="1">
        <v>200000</v>
      </c>
      <c r="I26" s="1">
        <v>10000</v>
      </c>
      <c r="J26" s="1">
        <v>400000</v>
      </c>
      <c r="K26" s="1">
        <v>10000</v>
      </c>
      <c r="L26" s="1">
        <v>1500000</v>
      </c>
      <c r="M26" s="1">
        <v>10000</v>
      </c>
    </row>
    <row r="27" spans="1:13" ht="16.5" customHeight="1" x14ac:dyDescent="0.4">
      <c r="A27" s="7" t="s">
        <v>20</v>
      </c>
      <c r="B27" s="7" t="s">
        <v>131</v>
      </c>
      <c r="C27" s="7" t="s">
        <v>18</v>
      </c>
      <c r="D27" s="4" t="str">
        <f t="shared" si="0"/>
        <v>障害福祉施設等入所施設短期入所</v>
      </c>
      <c r="E27" s="5">
        <v>2300</v>
      </c>
      <c r="F27" s="5" t="s">
        <v>132</v>
      </c>
      <c r="G27" s="5" t="s">
        <v>139</v>
      </c>
      <c r="H27" s="1">
        <v>200000</v>
      </c>
      <c r="I27" s="1">
        <v>10000</v>
      </c>
      <c r="J27" s="1">
        <v>200000</v>
      </c>
      <c r="K27" s="1">
        <v>10000</v>
      </c>
      <c r="L27" s="1">
        <v>200000</v>
      </c>
      <c r="M27" s="1">
        <v>10000</v>
      </c>
    </row>
    <row r="28" spans="1:13" ht="16.5" customHeight="1" x14ac:dyDescent="0.4">
      <c r="A28" s="7" t="s">
        <v>20</v>
      </c>
      <c r="B28" s="7" t="s">
        <v>131</v>
      </c>
      <c r="C28" s="7" t="s">
        <v>19</v>
      </c>
      <c r="D28" s="4" t="str">
        <f t="shared" si="0"/>
        <v>障害福祉施設等入所施設救護施設</v>
      </c>
      <c r="E28" s="5">
        <v>2300</v>
      </c>
      <c r="F28" s="5" t="s">
        <v>132</v>
      </c>
      <c r="G28" s="5" t="s">
        <v>139</v>
      </c>
      <c r="H28" s="1">
        <v>200000</v>
      </c>
      <c r="I28" s="1">
        <v>10000</v>
      </c>
      <c r="J28" s="1">
        <v>200000</v>
      </c>
      <c r="K28" s="1">
        <v>10000</v>
      </c>
      <c r="L28" s="1">
        <v>200000</v>
      </c>
      <c r="M28" s="1">
        <v>10000</v>
      </c>
    </row>
    <row r="29" spans="1:13" ht="16.5" customHeight="1" x14ac:dyDescent="0.4">
      <c r="A29" s="7" t="s">
        <v>20</v>
      </c>
      <c r="B29" s="7" t="s">
        <v>131</v>
      </c>
      <c r="C29" s="7" t="s">
        <v>23</v>
      </c>
      <c r="D29" s="4" t="str">
        <f t="shared" si="0"/>
        <v>障害福祉施設等入所施設宿泊型自立訓練</v>
      </c>
      <c r="E29" s="5">
        <v>2300</v>
      </c>
      <c r="F29" s="5" t="s">
        <v>132</v>
      </c>
      <c r="G29" s="5" t="s">
        <v>141</v>
      </c>
      <c r="H29" s="1">
        <v>120000</v>
      </c>
      <c r="I29" s="1">
        <v>0</v>
      </c>
      <c r="J29" s="1">
        <v>120000</v>
      </c>
      <c r="K29" s="1">
        <v>0</v>
      </c>
      <c r="L29" s="1">
        <v>120000</v>
      </c>
      <c r="M29" s="1">
        <v>0</v>
      </c>
    </row>
    <row r="30" spans="1:13" ht="16.5" customHeight="1" x14ac:dyDescent="0.4">
      <c r="A30" s="7" t="s">
        <v>20</v>
      </c>
      <c r="B30" s="7" t="s">
        <v>131</v>
      </c>
      <c r="C30" s="7" t="s">
        <v>61</v>
      </c>
      <c r="D30" s="4" t="str">
        <f t="shared" si="0"/>
        <v>障害福祉施設等入所施設福祉ホーム</v>
      </c>
      <c r="E30" s="5">
        <v>1500</v>
      </c>
      <c r="F30" s="5" t="s">
        <v>128</v>
      </c>
      <c r="G30" s="5" t="s">
        <v>141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ht="16.5" customHeight="1" x14ac:dyDescent="0.4">
      <c r="A31" s="7" t="s">
        <v>20</v>
      </c>
      <c r="B31" s="7" t="s">
        <v>13</v>
      </c>
      <c r="C31" s="7" t="s">
        <v>19</v>
      </c>
      <c r="D31" s="4" t="str">
        <f t="shared" si="0"/>
        <v>障害福祉施設等通所施設救護施設</v>
      </c>
      <c r="E31" s="5">
        <v>1500</v>
      </c>
      <c r="F31" s="5" t="s">
        <v>13</v>
      </c>
      <c r="G31" s="5"/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ht="16.5" customHeight="1" x14ac:dyDescent="0.4">
      <c r="A32" s="7" t="s">
        <v>20</v>
      </c>
      <c r="B32" s="7" t="s">
        <v>13</v>
      </c>
      <c r="C32" s="7" t="s">
        <v>21</v>
      </c>
      <c r="D32" s="4" t="str">
        <f t="shared" si="0"/>
        <v>障害福祉施設等通所施設療養介護</v>
      </c>
      <c r="E32" s="5">
        <v>1500</v>
      </c>
      <c r="F32" s="5" t="s">
        <v>13</v>
      </c>
      <c r="G32" s="5"/>
      <c r="H32" s="1">
        <v>120000</v>
      </c>
      <c r="I32" s="1">
        <v>0</v>
      </c>
      <c r="J32" s="1">
        <v>120000</v>
      </c>
      <c r="K32" s="1">
        <v>0</v>
      </c>
      <c r="L32" s="1">
        <v>120000</v>
      </c>
      <c r="M32" s="1">
        <v>0</v>
      </c>
    </row>
    <row r="33" spans="1:13" ht="16.5" customHeight="1" x14ac:dyDescent="0.4">
      <c r="A33" s="7" t="s">
        <v>20</v>
      </c>
      <c r="B33" s="7" t="s">
        <v>13</v>
      </c>
      <c r="C33" s="7" t="s">
        <v>22</v>
      </c>
      <c r="D33" s="4" t="str">
        <f t="shared" si="0"/>
        <v>障害福祉施設等通所施設生活介護</v>
      </c>
      <c r="E33" s="5">
        <v>1500</v>
      </c>
      <c r="F33" s="5" t="s">
        <v>13</v>
      </c>
      <c r="G33" s="5"/>
      <c r="H33" s="1">
        <v>120000</v>
      </c>
      <c r="I33" s="1">
        <v>0</v>
      </c>
      <c r="J33" s="1">
        <v>120000</v>
      </c>
      <c r="K33" s="1">
        <v>0</v>
      </c>
      <c r="L33" s="1">
        <v>120000</v>
      </c>
      <c r="M33" s="1">
        <v>0</v>
      </c>
    </row>
    <row r="34" spans="1:13" ht="16.5" customHeight="1" x14ac:dyDescent="0.4">
      <c r="A34" s="37" t="s">
        <v>20</v>
      </c>
      <c r="B34" s="37" t="s">
        <v>13</v>
      </c>
      <c r="C34" s="37" t="s">
        <v>125</v>
      </c>
      <c r="D34" s="38" t="str">
        <f t="shared" si="0"/>
        <v>障害福祉施設等通所施設自立訓練(生活)</v>
      </c>
      <c r="E34" s="39">
        <v>1500</v>
      </c>
      <c r="F34" s="39" t="s">
        <v>13</v>
      </c>
      <c r="G34" s="39"/>
      <c r="H34" s="40">
        <v>120000</v>
      </c>
      <c r="I34" s="40">
        <v>0</v>
      </c>
      <c r="J34" s="40">
        <v>120000</v>
      </c>
      <c r="K34" s="40">
        <v>0</v>
      </c>
      <c r="L34" s="40">
        <v>120000</v>
      </c>
      <c r="M34" s="40">
        <v>0</v>
      </c>
    </row>
    <row r="35" spans="1:13" ht="16.5" customHeight="1" x14ac:dyDescent="0.4">
      <c r="A35" s="37" t="s">
        <v>20</v>
      </c>
      <c r="B35" s="37" t="s">
        <v>13</v>
      </c>
      <c r="C35" s="37" t="s">
        <v>126</v>
      </c>
      <c r="D35" s="38" t="str">
        <f t="shared" si="0"/>
        <v>障害福祉施設等通所施設自立訓練(機能)</v>
      </c>
      <c r="E35" s="39">
        <v>1500</v>
      </c>
      <c r="F35" s="39" t="s">
        <v>13</v>
      </c>
      <c r="G35" s="39"/>
      <c r="H35" s="40">
        <v>120000</v>
      </c>
      <c r="I35" s="40">
        <v>0</v>
      </c>
      <c r="J35" s="40">
        <v>120000</v>
      </c>
      <c r="K35" s="40">
        <v>0</v>
      </c>
      <c r="L35" s="40">
        <v>120000</v>
      </c>
      <c r="M35" s="40">
        <v>0</v>
      </c>
    </row>
    <row r="36" spans="1:13" ht="16.5" customHeight="1" x14ac:dyDescent="0.4">
      <c r="A36" s="37" t="s">
        <v>20</v>
      </c>
      <c r="B36" s="37" t="s">
        <v>13</v>
      </c>
      <c r="C36" s="37" t="s">
        <v>24</v>
      </c>
      <c r="D36" s="38" t="str">
        <f t="shared" si="0"/>
        <v>障害福祉施設等通所施設就労移行支援</v>
      </c>
      <c r="E36" s="39">
        <v>1500</v>
      </c>
      <c r="F36" s="39" t="s">
        <v>13</v>
      </c>
      <c r="G36" s="39"/>
      <c r="H36" s="40">
        <v>120000</v>
      </c>
      <c r="I36" s="40">
        <v>0</v>
      </c>
      <c r="J36" s="40">
        <v>120000</v>
      </c>
      <c r="K36" s="40">
        <v>0</v>
      </c>
      <c r="L36" s="40">
        <v>120000</v>
      </c>
      <c r="M36" s="40">
        <v>0</v>
      </c>
    </row>
    <row r="37" spans="1:13" ht="16.5" customHeight="1" x14ac:dyDescent="0.4">
      <c r="A37" s="37" t="s">
        <v>20</v>
      </c>
      <c r="B37" s="37" t="s">
        <v>13</v>
      </c>
      <c r="C37" s="37" t="s">
        <v>25</v>
      </c>
      <c r="D37" s="38" t="str">
        <f t="shared" si="0"/>
        <v>障害福祉施設等通所施設就労継続支援A 型</v>
      </c>
      <c r="E37" s="39">
        <v>1500</v>
      </c>
      <c r="F37" s="39" t="s">
        <v>13</v>
      </c>
      <c r="G37" s="39"/>
      <c r="H37" s="40">
        <v>120000</v>
      </c>
      <c r="I37" s="40">
        <v>0</v>
      </c>
      <c r="J37" s="40">
        <v>120000</v>
      </c>
      <c r="K37" s="40">
        <v>0</v>
      </c>
      <c r="L37" s="40">
        <v>120000</v>
      </c>
      <c r="M37" s="40">
        <v>0</v>
      </c>
    </row>
    <row r="38" spans="1:13" ht="16.5" customHeight="1" x14ac:dyDescent="0.4">
      <c r="A38" s="37" t="s">
        <v>20</v>
      </c>
      <c r="B38" s="37" t="s">
        <v>13</v>
      </c>
      <c r="C38" s="37" t="s">
        <v>26</v>
      </c>
      <c r="D38" s="38" t="str">
        <f t="shared" si="0"/>
        <v>障害福祉施設等通所施設就労継続支援B 型</v>
      </c>
      <c r="E38" s="39">
        <v>1500</v>
      </c>
      <c r="F38" s="39" t="s">
        <v>13</v>
      </c>
      <c r="G38" s="39"/>
      <c r="H38" s="40">
        <v>120000</v>
      </c>
      <c r="I38" s="40">
        <v>0</v>
      </c>
      <c r="J38" s="40">
        <v>120000</v>
      </c>
      <c r="K38" s="40">
        <v>0</v>
      </c>
      <c r="L38" s="40">
        <v>120000</v>
      </c>
      <c r="M38" s="40">
        <v>0</v>
      </c>
    </row>
    <row r="39" spans="1:13" ht="16.5" customHeight="1" x14ac:dyDescent="0.4">
      <c r="A39" s="37" t="s">
        <v>20</v>
      </c>
      <c r="B39" s="37" t="s">
        <v>13</v>
      </c>
      <c r="C39" s="37" t="s">
        <v>127</v>
      </c>
      <c r="D39" s="38" t="str">
        <f t="shared" si="0"/>
        <v>障害福祉施設等通所施設児童発達支援(福祉型・医療型)</v>
      </c>
      <c r="E39" s="39">
        <v>1500</v>
      </c>
      <c r="F39" s="39" t="s">
        <v>13</v>
      </c>
      <c r="G39" s="39"/>
      <c r="H39" s="40">
        <v>120000</v>
      </c>
      <c r="I39" s="40">
        <v>0</v>
      </c>
      <c r="J39" s="40">
        <v>120000</v>
      </c>
      <c r="K39" s="40">
        <v>0</v>
      </c>
      <c r="L39" s="40">
        <v>120000</v>
      </c>
      <c r="M39" s="40">
        <v>0</v>
      </c>
    </row>
    <row r="40" spans="1:13" ht="16.5" customHeight="1" x14ac:dyDescent="0.4">
      <c r="A40" s="37" t="s">
        <v>20</v>
      </c>
      <c r="B40" s="37" t="s">
        <v>13</v>
      </c>
      <c r="C40" s="37" t="s">
        <v>60</v>
      </c>
      <c r="D40" s="38" t="str">
        <f t="shared" si="0"/>
        <v>障害福祉施設等通所施設放課後等デイサービス</v>
      </c>
      <c r="E40" s="39">
        <v>1500</v>
      </c>
      <c r="F40" s="39" t="s">
        <v>13</v>
      </c>
      <c r="G40" s="39"/>
      <c r="H40" s="40">
        <v>120000</v>
      </c>
      <c r="I40" s="40">
        <v>0</v>
      </c>
      <c r="J40" s="40">
        <v>120000</v>
      </c>
      <c r="K40" s="40">
        <v>0</v>
      </c>
      <c r="L40" s="40">
        <v>120000</v>
      </c>
      <c r="M40" s="40">
        <v>0</v>
      </c>
    </row>
    <row r="41" spans="1:13" ht="16.5" customHeight="1" x14ac:dyDescent="0.4">
      <c r="A41" s="37" t="s">
        <v>20</v>
      </c>
      <c r="B41" s="37" t="s">
        <v>13</v>
      </c>
      <c r="C41" s="37" t="s">
        <v>62</v>
      </c>
      <c r="D41" s="38" t="str">
        <f t="shared" si="0"/>
        <v>障害福祉施設等通所施設地域活動支援センター</v>
      </c>
      <c r="E41" s="39">
        <v>1500</v>
      </c>
      <c r="F41" s="39" t="s">
        <v>13</v>
      </c>
      <c r="G41" s="39"/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</row>
    <row r="42" spans="1:13" ht="16.5" customHeight="1" x14ac:dyDescent="0.4">
      <c r="A42" s="7" t="s">
        <v>20</v>
      </c>
      <c r="B42" s="7" t="s">
        <v>13</v>
      </c>
      <c r="C42" s="7" t="s">
        <v>63</v>
      </c>
      <c r="D42" s="4" t="str">
        <f t="shared" si="0"/>
        <v>障害福祉施設等通所施設小規模作業所</v>
      </c>
      <c r="E42" s="5">
        <v>1500</v>
      </c>
      <c r="F42" s="5" t="s">
        <v>13</v>
      </c>
      <c r="G42" s="5"/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ht="16.5" customHeight="1" x14ac:dyDescent="0.4">
      <c r="A43" s="7" t="s">
        <v>20</v>
      </c>
      <c r="B43" s="7" t="s">
        <v>13</v>
      </c>
      <c r="C43" s="7" t="s">
        <v>64</v>
      </c>
      <c r="D43" s="4" t="str">
        <f t="shared" si="0"/>
        <v>障害福祉施設等通所施設日中一時支援事業所</v>
      </c>
      <c r="E43" s="5">
        <v>1500</v>
      </c>
      <c r="F43" s="5" t="s">
        <v>13</v>
      </c>
      <c r="G43" s="5"/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</sheetData>
  <autoFilter ref="A3:M42"/>
  <mergeCells count="4">
    <mergeCell ref="H1:M1"/>
    <mergeCell ref="H2:I2"/>
    <mergeCell ref="J2:K2"/>
    <mergeCell ref="L2:M2"/>
  </mergeCells>
  <phoneticPr fontI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計算シート</vt:lpstr>
      <vt:lpstr>計算シート別紙</vt:lpstr>
      <vt:lpstr>開始日</vt:lpstr>
      <vt:lpstr>高齢者施設等通所施設</vt:lpstr>
      <vt:lpstr>高齢者施設等入所施設</vt:lpstr>
      <vt:lpstr>施設形態</vt:lpstr>
      <vt:lpstr>施設種別</vt:lpstr>
      <vt:lpstr>障害福祉施設等通所施設</vt:lpstr>
      <vt:lpstr>障害福祉施設等入所施設</vt:lpstr>
      <vt:lpstr>食事提供通所施設</vt:lpstr>
      <vt:lpstr>食事提供入所施設</vt:lpstr>
      <vt:lpstr>単価表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ただ　えつこ</dc:creator>
  <cp:lastModifiedBy>岡山市</cp:lastModifiedBy>
  <cp:lastPrinted>2023-09-28T23:43:16Z</cp:lastPrinted>
  <dcterms:created xsi:type="dcterms:W3CDTF">2023-09-14T04:52:35Z</dcterms:created>
  <dcterms:modified xsi:type="dcterms:W3CDTF">2023-09-28T23:45:24Z</dcterms:modified>
</cp:coreProperties>
</file>