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codeName="ThisWorkbook"/>
  <mc:AlternateContent xmlns:mc="http://schemas.openxmlformats.org/markup-compatibility/2006">
    <mc:Choice Requires="x15">
      <x15ac:absPath xmlns:x15ac="http://schemas.microsoft.com/office/spreadsheetml/2010/11/ac" url="W:\国保係\新国保係\98 庶務\01 HＰ関係\保険料簡易計算シート\"/>
    </mc:Choice>
  </mc:AlternateContent>
  <xr:revisionPtr revIDLastSave="0" documentId="13_ncr:1_{D7218290-AA38-477F-9D72-4A78C8DC7722}" xr6:coauthVersionLast="36" xr6:coauthVersionMax="36" xr10:uidLastSave="{00000000-0000-0000-0000-000000000000}"/>
  <workbookProtection workbookAlgorithmName="SHA-512" workbookHashValue="tNwdAJjH7gpy2nQODnvVvJTziStkXbLiDgltH/it7ZVEN64m9RancRaw5dybb3juY1FjMaYdxhRq5rQOG/amRA==" workbookSaltValue="Z/wwD4ai7cTXGVTkpmQapw==" workbookSpinCount="100000" lockStructure="1"/>
  <bookViews>
    <workbookView xWindow="480" yWindow="60" windowWidth="18192" windowHeight="4380" xr2:uid="{00000000-000D-0000-FFFF-FFFF00000000}"/>
  </bookViews>
  <sheets>
    <sheet name="入力シート" sheetId="4" r:id="rId1"/>
    <sheet name="算出計算" sheetId="3" state="hidden" r:id="rId2"/>
  </sheets>
  <definedNames>
    <definedName name="_xlnm.Print_Area" localSheetId="0">入力シート!$A$1:$BB$70</definedName>
  </definedNames>
  <calcPr calcId="191029"/>
</workbook>
</file>

<file path=xl/calcChain.xml><?xml version="1.0" encoding="utf-8"?>
<calcChain xmlns="http://schemas.openxmlformats.org/spreadsheetml/2006/main">
  <c r="AV27" i="4" l="1"/>
  <c r="C81" i="3" l="1"/>
  <c r="C62" i="3"/>
  <c r="C43" i="3"/>
  <c r="C24" i="3"/>
  <c r="C100" i="3"/>
  <c r="C104" i="3" l="1"/>
  <c r="E104" i="3" s="1"/>
  <c r="C44" i="3"/>
  <c r="C25" i="3"/>
  <c r="C28" i="3"/>
  <c r="E28" i="3" s="1"/>
  <c r="F43" i="3"/>
  <c r="C47" i="3"/>
  <c r="E47" i="3" s="1"/>
  <c r="D62" i="3"/>
  <c r="C66" i="3"/>
  <c r="E66" i="3" s="1"/>
  <c r="C63" i="3"/>
  <c r="H72" i="3" s="1"/>
  <c r="E81" i="3"/>
  <c r="C85" i="3"/>
  <c r="E85" i="3" s="1"/>
  <c r="C82" i="3"/>
  <c r="H91" i="3" s="1"/>
  <c r="F100" i="3"/>
  <c r="C101" i="3"/>
  <c r="AW50" i="4"/>
  <c r="AF50" i="4"/>
  <c r="O50" i="4"/>
  <c r="Z6" i="3"/>
  <c r="Z12" i="3" s="1"/>
  <c r="Y6" i="3"/>
  <c r="Y12" i="3" s="1"/>
  <c r="AN49" i="4"/>
  <c r="AM46" i="4"/>
  <c r="AR43" i="4"/>
  <c r="W49" i="4"/>
  <c r="V46" i="4"/>
  <c r="AA43" i="4"/>
  <c r="E46" i="4"/>
  <c r="J43" i="4"/>
  <c r="F49" i="4"/>
  <c r="R6" i="3"/>
  <c r="U6" i="3"/>
  <c r="S6" i="3"/>
  <c r="V6" i="3"/>
  <c r="T6" i="3"/>
  <c r="W6" i="3"/>
  <c r="X6" i="3"/>
  <c r="X12" i="3" s="1"/>
  <c r="O6" i="3"/>
  <c r="P6" i="3"/>
  <c r="Q6" i="3"/>
  <c r="D81" i="3"/>
  <c r="G81" i="3" s="1"/>
  <c r="C83" i="3" s="1"/>
  <c r="F81" i="3"/>
  <c r="H67" i="3"/>
  <c r="H70" i="3"/>
  <c r="H106" i="3"/>
  <c r="H112" i="3"/>
  <c r="E100" i="3"/>
  <c r="D100" i="3"/>
  <c r="G100" i="3" s="1"/>
  <c r="H73" i="3" l="1"/>
  <c r="H71" i="3"/>
  <c r="H69" i="3"/>
  <c r="H68" i="3"/>
  <c r="H66" i="3"/>
  <c r="H75" i="3"/>
  <c r="H114" i="3"/>
  <c r="G114" i="3"/>
  <c r="G111" i="3"/>
  <c r="G110" i="3"/>
  <c r="G113" i="3"/>
  <c r="G112" i="3"/>
  <c r="G105" i="3"/>
  <c r="H85" i="3"/>
  <c r="H88" i="3"/>
  <c r="H90" i="3"/>
  <c r="G93" i="3"/>
  <c r="G92" i="3"/>
  <c r="G95" i="3"/>
  <c r="G91" i="3"/>
  <c r="G94" i="3"/>
  <c r="G86" i="3"/>
  <c r="H92" i="3"/>
  <c r="H94" i="3"/>
  <c r="H95" i="3"/>
  <c r="H86" i="3"/>
  <c r="H89" i="3"/>
  <c r="H87" i="3"/>
  <c r="M88" i="3"/>
  <c r="M86" i="3"/>
  <c r="M85" i="3"/>
  <c r="N85" i="3" s="1"/>
  <c r="M87" i="3"/>
  <c r="B10" i="3"/>
  <c r="C10" i="3" s="1"/>
  <c r="D10" i="3" s="1"/>
  <c r="H76" i="3"/>
  <c r="G76" i="3"/>
  <c r="G72" i="3"/>
  <c r="G74" i="3"/>
  <c r="H74" i="3" s="1"/>
  <c r="G75" i="3"/>
  <c r="G67" i="3"/>
  <c r="G73" i="3"/>
  <c r="G36" i="3"/>
  <c r="H36" i="3" s="1"/>
  <c r="G35" i="3"/>
  <c r="H35" i="3" s="1"/>
  <c r="G38" i="3"/>
  <c r="G34" i="3"/>
  <c r="G37" i="3"/>
  <c r="H37" i="3" s="1"/>
  <c r="G29" i="3"/>
  <c r="H47" i="3"/>
  <c r="G55" i="3"/>
  <c r="G54" i="3"/>
  <c r="H54" i="3" s="1"/>
  <c r="G53" i="3"/>
  <c r="G56" i="3"/>
  <c r="G57" i="3"/>
  <c r="G48" i="3"/>
  <c r="H52" i="3"/>
  <c r="H110" i="3"/>
  <c r="H104" i="3"/>
  <c r="H51" i="3"/>
  <c r="H107" i="3"/>
  <c r="H113" i="3"/>
  <c r="H108" i="3"/>
  <c r="H105" i="3"/>
  <c r="H109" i="3"/>
  <c r="H111" i="3"/>
  <c r="N87" i="3"/>
  <c r="N88" i="3"/>
  <c r="N86" i="3"/>
  <c r="C84" i="3"/>
  <c r="H93" i="3"/>
  <c r="H57" i="3"/>
  <c r="C103" i="3"/>
  <c r="B11" i="3"/>
  <c r="E11" i="3" s="1"/>
  <c r="T11" i="3" s="1"/>
  <c r="C102" i="3"/>
  <c r="N107" i="3" s="1"/>
  <c r="H48" i="3"/>
  <c r="H49" i="3"/>
  <c r="H53" i="3"/>
  <c r="H56" i="3"/>
  <c r="H50" i="3"/>
  <c r="H55" i="3"/>
  <c r="E62" i="3"/>
  <c r="F62" i="3"/>
  <c r="D43" i="3"/>
  <c r="E43" i="3"/>
  <c r="H33" i="3"/>
  <c r="H31" i="3"/>
  <c r="H28" i="3"/>
  <c r="H32" i="3"/>
  <c r="H38" i="3"/>
  <c r="H29" i="3"/>
  <c r="H34" i="3"/>
  <c r="H30" i="3"/>
  <c r="D24" i="3"/>
  <c r="F24" i="3"/>
  <c r="E24" i="3"/>
  <c r="H96" i="3" l="1"/>
  <c r="E82" i="3" s="1"/>
  <c r="S10" i="3"/>
  <c r="H77" i="3"/>
  <c r="E63" i="3" s="1"/>
  <c r="M107" i="3"/>
  <c r="M106" i="3"/>
  <c r="M105" i="3"/>
  <c r="M104" i="3"/>
  <c r="N104" i="3" s="1"/>
  <c r="J106" i="3"/>
  <c r="J104" i="3"/>
  <c r="K104" i="3" s="1"/>
  <c r="J105" i="3"/>
  <c r="J107" i="3"/>
  <c r="H39" i="3"/>
  <c r="R10" i="3"/>
  <c r="E10" i="3"/>
  <c r="G10" i="3" s="1"/>
  <c r="N10" i="3" s="1"/>
  <c r="J88" i="3"/>
  <c r="J87" i="3"/>
  <c r="J86" i="3"/>
  <c r="J85" i="3"/>
  <c r="K85" i="3" s="1"/>
  <c r="H115" i="3"/>
  <c r="E101" i="3" s="1"/>
  <c r="N89" i="3"/>
  <c r="E83" i="3" s="1"/>
  <c r="K88" i="3"/>
  <c r="K86" i="3"/>
  <c r="K87" i="3"/>
  <c r="K106" i="3"/>
  <c r="K105" i="3"/>
  <c r="K107" i="3"/>
  <c r="G11" i="3"/>
  <c r="N11" i="3" s="1"/>
  <c r="C11" i="3"/>
  <c r="S11" i="3" s="1"/>
  <c r="N105" i="3"/>
  <c r="N106" i="3"/>
  <c r="H58" i="3"/>
  <c r="E44" i="3" s="1"/>
  <c r="G62" i="3"/>
  <c r="C65" i="3" s="1"/>
  <c r="G43" i="3"/>
  <c r="C46" i="3" s="1"/>
  <c r="G24" i="3"/>
  <c r="C26" i="3" s="1"/>
  <c r="K108" i="3" l="1"/>
  <c r="T10" i="3"/>
  <c r="J69" i="3"/>
  <c r="J68" i="3"/>
  <c r="J67" i="3"/>
  <c r="J66" i="3"/>
  <c r="K66" i="3" s="1"/>
  <c r="M31" i="3"/>
  <c r="N31" i="3" s="1"/>
  <c r="M30" i="3"/>
  <c r="M29" i="3"/>
  <c r="M28" i="3"/>
  <c r="N28" i="3" s="1"/>
  <c r="J48" i="3"/>
  <c r="J47" i="3"/>
  <c r="K47" i="3" s="1"/>
  <c r="J50" i="3"/>
  <c r="J49" i="3"/>
  <c r="K89" i="3"/>
  <c r="R11" i="3"/>
  <c r="N108" i="3"/>
  <c r="E102" i="3" s="1"/>
  <c r="D11" i="3"/>
  <c r="K68" i="3"/>
  <c r="K67" i="3"/>
  <c r="B9" i="3"/>
  <c r="E9" i="3" s="1"/>
  <c r="K69" i="3"/>
  <c r="C64" i="3"/>
  <c r="B8" i="3"/>
  <c r="C8" i="3" s="1"/>
  <c r="S8" i="3" s="1"/>
  <c r="C45" i="3"/>
  <c r="K50" i="3"/>
  <c r="K48" i="3"/>
  <c r="K49" i="3"/>
  <c r="B7" i="3"/>
  <c r="C7" i="3" s="1"/>
  <c r="S7" i="3" s="1"/>
  <c r="N29" i="3"/>
  <c r="N30" i="3"/>
  <c r="C27" i="3"/>
  <c r="E103" i="3" l="1"/>
  <c r="D108" i="3" s="1"/>
  <c r="O115" i="3"/>
  <c r="P115" i="3" s="1"/>
  <c r="E84" i="3"/>
  <c r="O96" i="3"/>
  <c r="P96" i="3" s="1"/>
  <c r="M69" i="3"/>
  <c r="M68" i="3"/>
  <c r="M66" i="3"/>
  <c r="N66" i="3" s="1"/>
  <c r="M67" i="3"/>
  <c r="J31" i="3"/>
  <c r="J30" i="3"/>
  <c r="J28" i="3"/>
  <c r="K28" i="3" s="1"/>
  <c r="J29" i="3"/>
  <c r="K29" i="3" s="1"/>
  <c r="N49" i="3"/>
  <c r="M48" i="3"/>
  <c r="M47" i="3"/>
  <c r="N47" i="3" s="1"/>
  <c r="M50" i="3"/>
  <c r="M49" i="3"/>
  <c r="N67" i="3"/>
  <c r="F11" i="3"/>
  <c r="L11" i="3" s="1"/>
  <c r="AO32" i="4"/>
  <c r="N68" i="3"/>
  <c r="D8" i="3"/>
  <c r="R8" i="3"/>
  <c r="N48" i="3"/>
  <c r="E8" i="3"/>
  <c r="N69" i="3"/>
  <c r="K70" i="3"/>
  <c r="C9" i="3"/>
  <c r="N50" i="3"/>
  <c r="K51" i="3"/>
  <c r="N32" i="3"/>
  <c r="E26" i="3" s="1"/>
  <c r="E7" i="3"/>
  <c r="T9" i="3"/>
  <c r="G9" i="3"/>
  <c r="N9" i="3" s="1"/>
  <c r="D7" i="3"/>
  <c r="R7" i="3"/>
  <c r="K30" i="3"/>
  <c r="K31" i="3"/>
  <c r="D107" i="3" l="1"/>
  <c r="D88" i="3"/>
  <c r="F10" i="3" s="1"/>
  <c r="D89" i="3"/>
  <c r="E65" i="3"/>
  <c r="E46" i="3"/>
  <c r="M11" i="3"/>
  <c r="AV32" i="4"/>
  <c r="N70" i="3"/>
  <c r="E64" i="3" s="1"/>
  <c r="N51" i="3"/>
  <c r="E45" i="3" s="1"/>
  <c r="T8" i="3"/>
  <c r="C12" i="3"/>
  <c r="U12" i="3" s="1"/>
  <c r="E15" i="3" s="1"/>
  <c r="N49" i="4" s="1"/>
  <c r="R9" i="3"/>
  <c r="R12" i="3" s="1"/>
  <c r="D15" i="3" s="1"/>
  <c r="N46" i="4" s="1"/>
  <c r="S9" i="3"/>
  <c r="S12" i="3" s="1"/>
  <c r="D16" i="3" s="1"/>
  <c r="AE46" i="4" s="1"/>
  <c r="D9" i="3"/>
  <c r="D12" i="3" s="1"/>
  <c r="V12" i="3" s="1"/>
  <c r="E16" i="3" s="1"/>
  <c r="AE49" i="4" s="1"/>
  <c r="T7" i="3"/>
  <c r="E12" i="3"/>
  <c r="K32" i="3"/>
  <c r="D51" i="3" l="1"/>
  <c r="AO31" i="4"/>
  <c r="L10" i="3"/>
  <c r="O77" i="3"/>
  <c r="P77" i="3" s="1"/>
  <c r="D69" i="3" s="1"/>
  <c r="F9" i="3" s="1"/>
  <c r="AO30" i="4" s="1"/>
  <c r="E27" i="3"/>
  <c r="O58" i="3"/>
  <c r="P58" i="3" s="1"/>
  <c r="D50" i="3" s="1"/>
  <c r="F8" i="3" s="1"/>
  <c r="AO29" i="4" s="1"/>
  <c r="D70" i="3"/>
  <c r="T12" i="3"/>
  <c r="D17" i="3" s="1"/>
  <c r="AV46" i="4" s="1"/>
  <c r="B21" i="3"/>
  <c r="J46" i="4"/>
  <c r="AA46" i="4"/>
  <c r="W12" i="3"/>
  <c r="E17" i="3" s="1"/>
  <c r="AV49" i="4" s="1"/>
  <c r="AR46" i="4"/>
  <c r="L9" i="3" l="1"/>
  <c r="AV30" i="4" s="1"/>
  <c r="M10" i="3"/>
  <c r="AV31" i="4"/>
  <c r="AP29" i="4"/>
  <c r="G8" i="3"/>
  <c r="N8" i="3" s="1"/>
  <c r="L8" i="3"/>
  <c r="D18" i="3"/>
  <c r="E18" i="3"/>
  <c r="M9" i="3" l="1"/>
  <c r="M8" i="3"/>
  <c r="AV29" i="4"/>
  <c r="O39" i="3" l="1"/>
  <c r="P39" i="3" s="1"/>
  <c r="E25" i="3"/>
  <c r="D31" i="3" l="1"/>
  <c r="F7" i="3" s="1"/>
  <c r="G7" i="3" s="1"/>
  <c r="D32" i="3"/>
  <c r="N7" i="3" l="1"/>
  <c r="N12" i="3" s="1"/>
  <c r="G12" i="3"/>
  <c r="L7" i="3"/>
  <c r="L12" i="3" s="1"/>
  <c r="F12" i="3"/>
  <c r="C21" i="3" s="1"/>
  <c r="AO28" i="4"/>
  <c r="AP31" i="4"/>
  <c r="B17" i="3" l="1"/>
  <c r="AK43" i="4" s="1"/>
  <c r="AV35" i="4"/>
  <c r="Q12" i="3"/>
  <c r="C17" i="3" s="1"/>
  <c r="AV28" i="4"/>
  <c r="M7" i="3"/>
  <c r="AV33" i="4"/>
  <c r="B15" i="3"/>
  <c r="C43" i="4" s="1"/>
  <c r="O12" i="3"/>
  <c r="C15" i="3" s="1"/>
  <c r="M12" i="3"/>
  <c r="AV43" i="4" l="1"/>
  <c r="F17" i="3"/>
  <c r="B16" i="3"/>
  <c r="T43" i="4" s="1"/>
  <c r="P12" i="3"/>
  <c r="C16" i="3" s="1"/>
  <c r="C18" i="3" s="1"/>
  <c r="N43" i="4"/>
  <c r="F15" i="3"/>
  <c r="G17" i="3" l="1"/>
  <c r="AK53" i="4" s="1"/>
  <c r="AE43" i="4"/>
  <c r="F16" i="3"/>
  <c r="F18" i="3" s="1"/>
  <c r="G15" i="3"/>
  <c r="H17" i="3" l="1"/>
  <c r="AQ51" i="4" s="1"/>
  <c r="C53" i="4"/>
  <c r="G16" i="3"/>
  <c r="T53" i="4" s="1"/>
  <c r="H15" i="3"/>
  <c r="I51" i="4" s="1"/>
  <c r="H16" i="3" l="1"/>
  <c r="Z51" i="4" s="1"/>
  <c r="G18" i="3"/>
  <c r="H18" i="3" s="1"/>
  <c r="S61" i="4" s="1"/>
</calcChain>
</file>

<file path=xl/sharedStrings.xml><?xml version="1.0" encoding="utf-8"?>
<sst xmlns="http://schemas.openxmlformats.org/spreadsheetml/2006/main" count="347" uniqueCount="103">
  <si>
    <t>生年月日</t>
    <rPh sb="0" eb="2">
      <t>セイネン</t>
    </rPh>
    <rPh sb="2" eb="4">
      <t>ガッピ</t>
    </rPh>
    <phoneticPr fontId="2"/>
  </si>
  <si>
    <t>給与所得</t>
  </si>
  <si>
    <t>年金収入</t>
    <rPh sb="0" eb="2">
      <t>ネンキン</t>
    </rPh>
    <rPh sb="2" eb="4">
      <t>シュウニュウ</t>
    </rPh>
    <phoneticPr fontId="2"/>
  </si>
  <si>
    <t>その他所得</t>
    <rPh sb="2" eb="3">
      <t>タ</t>
    </rPh>
    <rPh sb="3" eb="5">
      <t>ショトク</t>
    </rPh>
    <phoneticPr fontId="2"/>
  </si>
  <si>
    <t>加入者１</t>
    <rPh sb="0" eb="3">
      <t>カニュウシャ</t>
    </rPh>
    <phoneticPr fontId="2"/>
  </si>
  <si>
    <t>加入者２</t>
    <rPh sb="0" eb="3">
      <t>カニュウシャ</t>
    </rPh>
    <phoneticPr fontId="2"/>
  </si>
  <si>
    <t>加入者３</t>
    <rPh sb="0" eb="3">
      <t>カニュウシャ</t>
    </rPh>
    <phoneticPr fontId="2"/>
  </si>
  <si>
    <t>加入者４</t>
    <rPh sb="0" eb="3">
      <t>カニュウシャ</t>
    </rPh>
    <phoneticPr fontId="2"/>
  </si>
  <si>
    <t>加入者５</t>
    <rPh sb="0" eb="3">
      <t>カニュウシャ</t>
    </rPh>
    <phoneticPr fontId="2"/>
  </si>
  <si>
    <t>国保</t>
    <rPh sb="0" eb="2">
      <t>コクホ</t>
    </rPh>
    <phoneticPr fontId="2"/>
  </si>
  <si>
    <t>支援</t>
    <rPh sb="0" eb="2">
      <t>シエン</t>
    </rPh>
    <phoneticPr fontId="2"/>
  </si>
  <si>
    <t>介保</t>
    <rPh sb="0" eb="1">
      <t>カイ</t>
    </rPh>
    <rPh sb="1" eb="2">
      <t>ホ</t>
    </rPh>
    <phoneticPr fontId="2"/>
  </si>
  <si>
    <t>基本情報</t>
    <rPh sb="0" eb="2">
      <t>キホン</t>
    </rPh>
    <rPh sb="2" eb="4">
      <t>ジョウホウ</t>
    </rPh>
    <phoneticPr fontId="2"/>
  </si>
  <si>
    <t>賦課年度</t>
    <rPh sb="0" eb="2">
      <t>フカ</t>
    </rPh>
    <rPh sb="2" eb="4">
      <t>ネンド</t>
    </rPh>
    <phoneticPr fontId="2"/>
  </si>
  <si>
    <t>加入者
情報</t>
    <rPh sb="0" eb="3">
      <t>カニュウシャ</t>
    </rPh>
    <rPh sb="4" eb="6">
      <t>ジョウホウ</t>
    </rPh>
    <phoneticPr fontId="2"/>
  </si>
  <si>
    <t>料額(今年度分）</t>
    <rPh sb="0" eb="1">
      <t>リョウ</t>
    </rPh>
    <rPh sb="1" eb="2">
      <t>ガク</t>
    </rPh>
    <rPh sb="3" eb="6">
      <t>コンネンド</t>
    </rPh>
    <rPh sb="6" eb="7">
      <t>ブン</t>
    </rPh>
    <phoneticPr fontId="2"/>
  </si>
  <si>
    <t>所得割</t>
    <rPh sb="0" eb="2">
      <t>ショトク</t>
    </rPh>
    <rPh sb="2" eb="3">
      <t>ワリ</t>
    </rPh>
    <phoneticPr fontId="2"/>
  </si>
  <si>
    <t>均等割</t>
    <rPh sb="0" eb="3">
      <t>キントウワ</t>
    </rPh>
    <phoneticPr fontId="2"/>
  </si>
  <si>
    <t>平等割</t>
    <rPh sb="0" eb="2">
      <t>ビョウドウ</t>
    </rPh>
    <rPh sb="2" eb="3">
      <t>ワリ</t>
    </rPh>
    <phoneticPr fontId="2"/>
  </si>
  <si>
    <t>算出料額</t>
    <rPh sb="0" eb="2">
      <t>サンシュツ</t>
    </rPh>
    <rPh sb="2" eb="3">
      <t>リョウ</t>
    </rPh>
    <rPh sb="3" eb="4">
      <t>ガク</t>
    </rPh>
    <phoneticPr fontId="2"/>
  </si>
  <si>
    <t>超過額</t>
    <rPh sb="0" eb="3">
      <t>チョウカガク</t>
    </rPh>
    <phoneticPr fontId="2"/>
  </si>
  <si>
    <t>差引料額</t>
    <rPh sb="0" eb="2">
      <t>サシヒキ</t>
    </rPh>
    <rPh sb="2" eb="3">
      <t>リョウ</t>
    </rPh>
    <rPh sb="3" eb="4">
      <t>ガク</t>
    </rPh>
    <phoneticPr fontId="2"/>
  </si>
  <si>
    <t>国保分</t>
    <rPh sb="0" eb="2">
      <t>コクホ</t>
    </rPh>
    <rPh sb="2" eb="3">
      <t>ブン</t>
    </rPh>
    <phoneticPr fontId="2"/>
  </si>
  <si>
    <t>支援分</t>
    <rPh sb="0" eb="2">
      <t>シエン</t>
    </rPh>
    <rPh sb="2" eb="3">
      <t>ブン</t>
    </rPh>
    <phoneticPr fontId="2"/>
  </si>
  <si>
    <t>介保分</t>
    <rPh sb="0" eb="2">
      <t>スケヤス</t>
    </rPh>
    <rPh sb="2" eb="3">
      <t>ブン</t>
    </rPh>
    <phoneticPr fontId="2"/>
  </si>
  <si>
    <t>合計</t>
    <rPh sb="0" eb="2">
      <t>ゴウケイ</t>
    </rPh>
    <phoneticPr fontId="2"/>
  </si>
  <si>
    <t>中間計算エリア</t>
    <rPh sb="0" eb="2">
      <t>チュウカン</t>
    </rPh>
    <rPh sb="2" eb="4">
      <t>ケイサン</t>
    </rPh>
    <phoneticPr fontId="2"/>
  </si>
  <si>
    <t>所得割額</t>
    <rPh sb="0" eb="2">
      <t>ショトク</t>
    </rPh>
    <rPh sb="2" eb="3">
      <t>ワリ</t>
    </rPh>
    <rPh sb="3" eb="4">
      <t>ガク</t>
    </rPh>
    <phoneticPr fontId="2"/>
  </si>
  <si>
    <t>国民健康保険料額算出</t>
    <rPh sb="0" eb="2">
      <t>コクミン</t>
    </rPh>
    <rPh sb="2" eb="4">
      <t>ケンコウ</t>
    </rPh>
    <rPh sb="4" eb="6">
      <t>ホケン</t>
    </rPh>
    <rPh sb="6" eb="7">
      <t>リョウ</t>
    </rPh>
    <rPh sb="7" eb="8">
      <t>ガク</t>
    </rPh>
    <rPh sb="8" eb="10">
      <t>サンシュツ</t>
    </rPh>
    <phoneticPr fontId="2"/>
  </si>
  <si>
    <t>料率設定</t>
    <rPh sb="2" eb="4">
      <t>セッテイ</t>
    </rPh>
    <phoneticPr fontId="2"/>
  </si>
  <si>
    <t>限度額</t>
    <rPh sb="0" eb="2">
      <t>ゲンド</t>
    </rPh>
    <rPh sb="2" eb="3">
      <t>ガク</t>
    </rPh>
    <phoneticPr fontId="2"/>
  </si>
  <si>
    <t>介護</t>
    <rPh sb="0" eb="2">
      <t>カイゴ</t>
    </rPh>
    <phoneticPr fontId="2"/>
  </si>
  <si>
    <t>均等割額</t>
    <rPh sb="0" eb="2">
      <t>キントウ</t>
    </rPh>
    <rPh sb="2" eb="3">
      <t>ワ</t>
    </rPh>
    <rPh sb="3" eb="4">
      <t>ガク</t>
    </rPh>
    <phoneticPr fontId="2"/>
  </si>
  <si>
    <t>平等割額</t>
    <rPh sb="0" eb="2">
      <t>ビョウドウ</t>
    </rPh>
    <rPh sb="2" eb="3">
      <t>ワリ</t>
    </rPh>
    <rPh sb="3" eb="4">
      <t>ガク</t>
    </rPh>
    <phoneticPr fontId="2"/>
  </si>
  <si>
    <t>給与所得換算</t>
  </si>
  <si>
    <t>年金所得換算
（65歳未満）</t>
  </si>
  <si>
    <t>年金所得換算
（65歳以上）</t>
  </si>
  <si>
    <t>給与収入合計RANK</t>
  </si>
  <si>
    <t>給与所得算出式</t>
  </si>
  <si>
    <t>年金収入合計RANK</t>
  </si>
  <si>
    <t>－</t>
  </si>
  <si>
    <t>65歳以上年金所得合計</t>
  </si>
  <si>
    <t>給与所得⇒</t>
  </si>
  <si>
    <t>所得計算
（給与収入）</t>
    <rPh sb="0" eb="2">
      <t>ショトク</t>
    </rPh>
    <rPh sb="2" eb="4">
      <t>ケイサン</t>
    </rPh>
    <rPh sb="6" eb="8">
      <t>キュウヨ</t>
    </rPh>
    <rPh sb="8" eb="10">
      <t>シュウニュウ</t>
    </rPh>
    <phoneticPr fontId="2"/>
  </si>
  <si>
    <t>収入⇒所得</t>
    <rPh sb="0" eb="2">
      <t>シュウニュウ</t>
    </rPh>
    <rPh sb="3" eb="5">
      <t>ショトク</t>
    </rPh>
    <phoneticPr fontId="2"/>
  </si>
  <si>
    <t>所得計算
（65以上年金）</t>
    <rPh sb="0" eb="2">
      <t>ショトク</t>
    </rPh>
    <rPh sb="2" eb="4">
      <t>ケイサン</t>
    </rPh>
    <rPh sb="8" eb="10">
      <t>イジョウ</t>
    </rPh>
    <rPh sb="10" eb="12">
      <t>ネンキン</t>
    </rPh>
    <phoneticPr fontId="2"/>
  </si>
  <si>
    <t>所得計算
（65未満年金）</t>
    <rPh sb="0" eb="2">
      <t>ショトク</t>
    </rPh>
    <rPh sb="2" eb="4">
      <t>ケイサン</t>
    </rPh>
    <rPh sb="8" eb="10">
      <t>ミマン</t>
    </rPh>
    <rPh sb="10" eb="12">
      <t>ネンキン</t>
    </rPh>
    <phoneticPr fontId="2"/>
  </si>
  <si>
    <t>-</t>
    <phoneticPr fontId="2"/>
  </si>
  <si>
    <t>65歳未満年金所得合計</t>
    <phoneticPr fontId="2"/>
  </si>
  <si>
    <t>所得割標準</t>
    <rPh sb="0" eb="2">
      <t>ショトク</t>
    </rPh>
    <rPh sb="2" eb="3">
      <t>ワリ</t>
    </rPh>
    <rPh sb="3" eb="5">
      <t>ヒョウジュン</t>
    </rPh>
    <phoneticPr fontId="2"/>
  </si>
  <si>
    <t>加入者２</t>
    <rPh sb="0" eb="2">
      <t>カニュウ</t>
    </rPh>
    <rPh sb="2" eb="3">
      <t>シャ</t>
    </rPh>
    <phoneticPr fontId="2"/>
  </si>
  <si>
    <t>加入者1</t>
    <rPh sb="0" eb="3">
      <t>カニュウシャ</t>
    </rPh>
    <phoneticPr fontId="2"/>
  </si>
  <si>
    <t>加入者2</t>
    <rPh sb="0" eb="3">
      <t>カニュウシャ</t>
    </rPh>
    <phoneticPr fontId="2"/>
  </si>
  <si>
    <t>加入者3</t>
    <rPh sb="0" eb="3">
      <t>カニュウシャ</t>
    </rPh>
    <phoneticPr fontId="2"/>
  </si>
  <si>
    <t>加入者4</t>
    <rPh sb="0" eb="3">
      <t>カニュウシャ</t>
    </rPh>
    <phoneticPr fontId="2"/>
  </si>
  <si>
    <t>加入者5</t>
    <rPh sb="0" eb="3">
      <t>カニュウシャ</t>
    </rPh>
    <phoneticPr fontId="2"/>
  </si>
  <si>
    <t>軽減判定所得</t>
    <rPh sb="0" eb="2">
      <t>ケイゲン</t>
    </rPh>
    <rPh sb="2" eb="4">
      <t>ハンテイ</t>
    </rPh>
    <rPh sb="4" eb="6">
      <t>ショトク</t>
    </rPh>
    <phoneticPr fontId="2"/>
  </si>
  <si>
    <t>軽減</t>
    <rPh sb="0" eb="2">
      <t>ケイゲン</t>
    </rPh>
    <phoneticPr fontId="2"/>
  </si>
  <si>
    <t>総所得金額</t>
    <rPh sb="0" eb="3">
      <t>ソウショトク</t>
    </rPh>
    <rPh sb="3" eb="5">
      <t>キンガク</t>
    </rPh>
    <phoneticPr fontId="2"/>
  </si>
  <si>
    <t>資格有無</t>
    <rPh sb="0" eb="2">
      <t>シカク</t>
    </rPh>
    <rPh sb="2" eb="4">
      <t>ウム</t>
    </rPh>
    <phoneticPr fontId="2"/>
  </si>
  <si>
    <t>軽減割合</t>
    <rPh sb="0" eb="2">
      <t>ケイゲン</t>
    </rPh>
    <rPh sb="2" eb="4">
      <t>ワリアイ</t>
    </rPh>
    <phoneticPr fontId="2"/>
  </si>
  <si>
    <t>基準額</t>
    <rPh sb="0" eb="2">
      <t>キジュン</t>
    </rPh>
    <rPh sb="2" eb="3">
      <t>ガク</t>
    </rPh>
    <phoneticPr fontId="2"/>
  </si>
  <si>
    <t>軽減可否</t>
    <rPh sb="0" eb="2">
      <t>ケイゲン</t>
    </rPh>
    <rPh sb="2" eb="4">
      <t>カヒ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</si>
  <si>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</si>
  <si>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</si>
  <si>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</si>
  <si>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</si>
  <si>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</si>
  <si>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</si>
  <si>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後期高齢者支援金相当分</t>
    <rPh sb="0" eb="2">
      <t>コウキ</t>
    </rPh>
    <rPh sb="2" eb="5">
      <t>コウレイシャ</t>
    </rPh>
    <rPh sb="5" eb="8">
      <t>シエンキン</t>
    </rPh>
    <rPh sb="8" eb="11">
      <t>ソウトウブン</t>
    </rPh>
    <phoneticPr fontId="2"/>
  </si>
  <si>
    <t>65歳未満年金所得合計</t>
    <phoneticPr fontId="2"/>
  </si>
  <si>
    <t>65歳未満年金所得合計</t>
    <phoneticPr fontId="2"/>
  </si>
  <si>
    <t>国保・支援</t>
    <rPh sb="0" eb="2">
      <t>コクホ</t>
    </rPh>
    <rPh sb="3" eb="5">
      <t>シエン</t>
    </rPh>
    <phoneticPr fontId="2"/>
  </si>
  <si>
    <t>-</t>
    <phoneticPr fontId="2"/>
  </si>
  <si>
    <t>①所得割額</t>
    <rPh sb="1" eb="3">
      <t>ショトク</t>
    </rPh>
    <rPh sb="3" eb="4">
      <t>ワリ</t>
    </rPh>
    <rPh sb="4" eb="5">
      <t>ガク</t>
    </rPh>
    <phoneticPr fontId="2"/>
  </si>
  <si>
    <t>②均等割額</t>
    <rPh sb="1" eb="4">
      <t>キントウワリ</t>
    </rPh>
    <rPh sb="4" eb="5">
      <t>ガク</t>
    </rPh>
    <phoneticPr fontId="2"/>
  </si>
  <si>
    <t>③平等割額</t>
    <rPh sb="1" eb="3">
      <t>ビョウドウ</t>
    </rPh>
    <rPh sb="3" eb="4">
      <t>ワリ</t>
    </rPh>
    <rPh sb="4" eb="5">
      <t>ガク</t>
    </rPh>
    <phoneticPr fontId="2"/>
  </si>
  <si>
    <t>年齢計算</t>
    <rPh sb="0" eb="2">
      <t>ネンレイ</t>
    </rPh>
    <rPh sb="2" eb="4">
      <t>ケイサン</t>
    </rPh>
    <phoneticPr fontId="2"/>
  </si>
  <si>
    <t>加入者数 / 所得</t>
    <rPh sb="0" eb="3">
      <t>カニュウシャ</t>
    </rPh>
    <rPh sb="3" eb="4">
      <t>スウ</t>
    </rPh>
    <rPh sb="7" eb="9">
      <t>ショトク</t>
    </rPh>
    <phoneticPr fontId="2"/>
  </si>
  <si>
    <t>7,700,000-</t>
    <phoneticPr fontId="2"/>
  </si>
  <si>
    <t>国民健康保険相当分</t>
    <rPh sb="0" eb="2">
      <t>コクミン</t>
    </rPh>
    <rPh sb="2" eb="4">
      <t>ケンコウ</t>
    </rPh>
    <rPh sb="4" eb="6">
      <t>ホケン</t>
    </rPh>
    <rPh sb="6" eb="9">
      <t>ソウトウブン</t>
    </rPh>
    <phoneticPr fontId="2"/>
  </si>
  <si>
    <t>被保険者数</t>
    <rPh sb="0" eb="4">
      <t>ヒホケンシャ</t>
    </rPh>
    <rPh sb="4" eb="5">
      <t>スウ</t>
    </rPh>
    <phoneticPr fontId="2"/>
  </si>
  <si>
    <t>その他の所得</t>
    <rPh sb="2" eb="3">
      <t>タ</t>
    </rPh>
    <rPh sb="4" eb="6">
      <t>ショトク</t>
    </rPh>
    <phoneticPr fontId="2"/>
  </si>
  <si>
    <t>×</t>
    <phoneticPr fontId="2"/>
  </si>
  <si>
    <t>一世帯あたり</t>
    <rPh sb="0" eb="1">
      <t>ヒト</t>
    </rPh>
    <rPh sb="1" eb="3">
      <t>セタイ</t>
    </rPh>
    <phoneticPr fontId="2"/>
  </si>
  <si>
    <t>小計</t>
    <rPh sb="0" eb="2">
      <t>ショウケイ</t>
    </rPh>
    <phoneticPr fontId="2"/>
  </si>
  <si>
    <r>
      <t>介護保険相当分</t>
    </r>
    <r>
      <rPr>
        <sz val="12"/>
        <rFont val="ＭＳ Ｐゴシック"/>
        <family val="3"/>
        <charset val="128"/>
      </rPr>
      <t>（４０歳～６４歳の方）</t>
    </r>
    <rPh sb="0" eb="2">
      <t>カイゴ</t>
    </rPh>
    <rPh sb="2" eb="4">
      <t>ホケン</t>
    </rPh>
    <rPh sb="4" eb="7">
      <t>ソウトウブン</t>
    </rPh>
    <rPh sb="10" eb="11">
      <t>サイ</t>
    </rPh>
    <rPh sb="14" eb="15">
      <t>サイ</t>
    </rPh>
    <rPh sb="16" eb="17">
      <t>カタ</t>
    </rPh>
    <phoneticPr fontId="2"/>
  </si>
  <si>
    <t>国民健康保険料額　年額</t>
    <rPh sb="0" eb="2">
      <t>コクミン</t>
    </rPh>
    <rPh sb="2" eb="4">
      <t>ケンコウ</t>
    </rPh>
    <rPh sb="4" eb="6">
      <t>ホケン</t>
    </rPh>
    <rPh sb="6" eb="7">
      <t>リョウ</t>
    </rPh>
    <rPh sb="7" eb="8">
      <t>ガク</t>
    </rPh>
    <rPh sb="9" eb="11">
      <t>ネンガク</t>
    </rPh>
    <phoneticPr fontId="2"/>
  </si>
  <si>
    <t>基礎控除額</t>
    <rPh sb="0" eb="2">
      <t>キソ</t>
    </rPh>
    <rPh sb="2" eb="4">
      <t>コウジョ</t>
    </rPh>
    <rPh sb="4" eb="5">
      <t>ガク</t>
    </rPh>
    <phoneticPr fontId="2"/>
  </si>
  <si>
    <t>=</t>
    <phoneticPr fontId="2"/>
  </si>
  <si>
    <t>一人あたり</t>
    <rPh sb="0" eb="2">
      <t>ヒトリ</t>
    </rPh>
    <phoneticPr fontId="2"/>
  </si>
  <si>
    <t>年金所得算出式</t>
    <rPh sb="0" eb="2">
      <t>ネンキン</t>
    </rPh>
    <phoneticPr fontId="2"/>
  </si>
  <si>
    <t>年金所得</t>
    <rPh sb="0" eb="2">
      <t>ネンキン</t>
    </rPh>
    <phoneticPr fontId="2"/>
  </si>
  <si>
    <t>令和</t>
    <rPh sb="0" eb="2">
      <t>レイワ</t>
    </rPh>
    <phoneticPr fontId="2"/>
  </si>
  <si>
    <t>給与収入
(年間支給金額)</t>
    <rPh sb="0" eb="2">
      <t>キュウヨ</t>
    </rPh>
    <rPh sb="2" eb="4">
      <t>シュウニュウ</t>
    </rPh>
    <rPh sb="6" eb="8">
      <t>ネンカン</t>
    </rPh>
    <rPh sb="8" eb="10">
      <t>シキュウ</t>
    </rPh>
    <rPh sb="10" eb="12">
      <t>キンガク</t>
    </rPh>
    <phoneticPr fontId="2"/>
  </si>
  <si>
    <t>総所得金額等
（自動計算）</t>
    <rPh sb="0" eb="3">
      <t>ソウショトク</t>
    </rPh>
    <rPh sb="3" eb="5">
      <t>キンガク</t>
    </rPh>
    <rPh sb="5" eb="6">
      <t>トウ</t>
    </rPh>
    <rPh sb="8" eb="10">
      <t>ジドウ</t>
    </rPh>
    <rPh sb="10" eb="12">
      <t>ケイサン</t>
    </rPh>
    <phoneticPr fontId="2"/>
  </si>
  <si>
    <t>所得割算定基礎額</t>
    <rPh sb="0" eb="2">
      <t>ショトク</t>
    </rPh>
    <rPh sb="2" eb="3">
      <t>ワリ</t>
    </rPh>
    <rPh sb="3" eb="5">
      <t>サンテイ</t>
    </rPh>
    <rPh sb="5" eb="7">
      <t>キソ</t>
    </rPh>
    <rPh sb="7" eb="8">
      <t>ガク</t>
    </rPh>
    <phoneticPr fontId="2"/>
  </si>
  <si>
    <t>所得割算定基礎額合計</t>
    <rPh sb="0" eb="2">
      <t>ショトク</t>
    </rPh>
    <rPh sb="2" eb="3">
      <t>ワリ</t>
    </rPh>
    <rPh sb="3" eb="5">
      <t>サンテイ</t>
    </rPh>
    <rPh sb="5" eb="7">
      <t>キソ</t>
    </rPh>
    <rPh sb="7" eb="8">
      <t>ガク</t>
    </rPh>
    <rPh sb="8" eb="10">
      <t>ゴウケイ</t>
    </rPh>
    <phoneticPr fontId="2"/>
  </si>
  <si>
    <t>介護保険加入者
所得割算定基礎額合計</t>
    <rPh sb="0" eb="2">
      <t>カイゴ</t>
    </rPh>
    <rPh sb="2" eb="4">
      <t>ホケン</t>
    </rPh>
    <rPh sb="4" eb="6">
      <t>カニュウ</t>
    </rPh>
    <rPh sb="6" eb="7">
      <t>シャ</t>
    </rPh>
    <rPh sb="8" eb="10">
      <t>ショトク</t>
    </rPh>
    <rPh sb="10" eb="11">
      <t>ワリ</t>
    </rPh>
    <rPh sb="11" eb="13">
      <t>サンテイ</t>
    </rPh>
    <rPh sb="13" eb="15">
      <t>キソ</t>
    </rPh>
    <rPh sb="15" eb="16">
      <t>ガク</t>
    </rPh>
    <rPh sb="16" eb="18">
      <t>ゴウケイ</t>
    </rPh>
    <phoneticPr fontId="2"/>
  </si>
  <si>
    <t>所得割率</t>
    <rPh sb="0" eb="2">
      <t>ショトク</t>
    </rPh>
    <rPh sb="2" eb="3">
      <t>ワリ</t>
    </rPh>
    <rPh sb="3" eb="4">
      <t>リツ</t>
    </rPh>
    <phoneticPr fontId="2"/>
  </si>
  <si>
    <t>8,500,000-</t>
  </si>
  <si>
    <t>8,500,000-</t>
    <phoneticPr fontId="2"/>
  </si>
  <si>
    <t>所得金額調整控除</t>
    <rPh sb="0" eb="2">
      <t>ショトク</t>
    </rPh>
    <rPh sb="2" eb="4">
      <t>キンガク</t>
    </rPh>
    <rPh sb="4" eb="6">
      <t>チョウセイ</t>
    </rPh>
    <rPh sb="6" eb="8">
      <t>コウジョ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</si>
</sst>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#,##0_ "/>
    <numFmt numFmtId="177" formatCode="#;\0;0"/>
    <numFmt numFmtId="178" formatCode="#,###;\0;0"/>
    <numFmt numFmtId="179" formatCode="[$-411]ge\.m\.d;@"/>
    <numFmt numFmtId="180" formatCode="0.000_ "/>
    <numFmt numFmtId="181" formatCode="#,###&quot;円&quot;"/>
    <numFmt numFmtId="182" formatCode="#,##0&quot;円&quot;"/>
    <numFmt numFmtId="183" formatCode="0.0000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1" xfId="0" applyNumberFormat="1" applyFont="1" applyBorder="1" applyProtection="1">
      <alignment vertical="center"/>
    </xf>
    <xf numFmtId="176" fontId="3" fillId="0" borderId="1" xfId="0" applyNumberFormat="1" applyFont="1" applyFill="1" applyBorder="1" applyProtection="1">
      <alignment vertical="center"/>
      <protection locked="0"/>
    </xf>
    <xf numFmtId="0" fontId="3" fillId="0" borderId="0" xfId="0" applyFont="1" applyProtection="1">
      <alignment vertical="center"/>
    </xf>
    <xf numFmtId="176" fontId="3" fillId="0" borderId="1" xfId="0" applyNumberFormat="1" applyFont="1" applyFill="1" applyBorder="1" applyProtection="1">
      <alignment vertical="center"/>
    </xf>
    <xf numFmtId="0" fontId="0" fillId="0" borderId="2" xfId="0" applyBorder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Protection="1">
      <alignment vertical="center"/>
      <protection locked="0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Protection="1">
      <alignment vertical="center"/>
      <protection locked="0"/>
    </xf>
    <xf numFmtId="177" fontId="3" fillId="0" borderId="0" xfId="0" applyNumberFormat="1" applyFont="1">
      <alignment vertical="center"/>
    </xf>
    <xf numFmtId="177" fontId="3" fillId="0" borderId="0" xfId="1" applyNumberFormat="1" applyFont="1">
      <alignment vertical="center"/>
    </xf>
    <xf numFmtId="0" fontId="3" fillId="0" borderId="0" xfId="0" applyFont="1" applyBorder="1" applyProtection="1">
      <alignment vertical="center"/>
    </xf>
    <xf numFmtId="178" fontId="0" fillId="0" borderId="0" xfId="0" applyNumberFormat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2" xfId="0" applyFont="1" applyFill="1" applyBorder="1">
      <alignment vertical="center"/>
    </xf>
    <xf numFmtId="0" fontId="7" fillId="0" borderId="0" xfId="0" applyFo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5" xfId="0" applyFont="1" applyFill="1" applyBorder="1" applyProtection="1">
      <alignment vertical="center"/>
    </xf>
    <xf numFmtId="0" fontId="4" fillId="2" borderId="1" xfId="0" applyFont="1" applyFill="1" applyBorder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3" borderId="0" xfId="0" applyFont="1" applyFill="1">
      <alignment vertical="center"/>
    </xf>
    <xf numFmtId="0" fontId="12" fillId="3" borderId="0" xfId="0" applyFont="1" applyFill="1">
      <alignment vertical="center"/>
    </xf>
    <xf numFmtId="176" fontId="4" fillId="3" borderId="0" xfId="0" applyNumberFormat="1" applyFont="1" applyFill="1">
      <alignment vertical="center"/>
    </xf>
    <xf numFmtId="0" fontId="4" fillId="2" borderId="4" xfId="0" applyFont="1" applyFill="1" applyBorder="1" applyProtection="1">
      <alignment vertical="center"/>
    </xf>
    <xf numFmtId="0" fontId="4" fillId="0" borderId="6" xfId="0" applyFont="1" applyFill="1" applyBorder="1" applyAlignment="1">
      <alignment vertical="center"/>
    </xf>
    <xf numFmtId="176" fontId="3" fillId="0" borderId="4" xfId="0" applyNumberFormat="1" applyFont="1" applyFill="1" applyBorder="1" applyProtection="1">
      <alignment vertical="center"/>
    </xf>
    <xf numFmtId="176" fontId="4" fillId="0" borderId="7" xfId="0" applyNumberFormat="1" applyFont="1" applyFill="1" applyBorder="1" applyProtection="1">
      <alignment vertical="center"/>
    </xf>
    <xf numFmtId="176" fontId="3" fillId="0" borderId="0" xfId="1" applyNumberFormat="1" applyFont="1">
      <alignment vertical="center"/>
    </xf>
    <xf numFmtId="176" fontId="3" fillId="0" borderId="1" xfId="0" applyNumberFormat="1" applyFont="1" applyFill="1" applyBorder="1">
      <alignment vertical="center"/>
    </xf>
    <xf numFmtId="3" fontId="3" fillId="0" borderId="4" xfId="0" applyNumberFormat="1" applyFont="1" applyBorder="1" applyProtection="1">
      <alignment vertical="center"/>
    </xf>
    <xf numFmtId="3" fontId="3" fillId="0" borderId="1" xfId="0" applyNumberFormat="1" applyFont="1" applyBorder="1" applyProtection="1">
      <alignment vertical="center"/>
    </xf>
    <xf numFmtId="3" fontId="0" fillId="0" borderId="0" xfId="0" applyNumberFormat="1">
      <alignment vertical="center"/>
    </xf>
    <xf numFmtId="3" fontId="3" fillId="0" borderId="0" xfId="0" applyNumberFormat="1" applyFont="1" applyFill="1" applyProtection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center" wrapText="1"/>
    </xf>
    <xf numFmtId="0" fontId="5" fillId="2" borderId="8" xfId="0" applyFont="1" applyFill="1" applyBorder="1" applyAlignment="1" applyProtection="1">
      <alignment horizontal="center" vertical="center"/>
      <protection locked="0"/>
    </xf>
    <xf numFmtId="176" fontId="3" fillId="0" borderId="0" xfId="1" applyNumberFormat="1" applyFont="1" applyFill="1">
      <alignment vertical="center"/>
    </xf>
    <xf numFmtId="179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176" fontId="3" fillId="0" borderId="1" xfId="0" applyNumberFormat="1" applyFont="1" applyBorder="1">
      <alignment vertical="center"/>
    </xf>
    <xf numFmtId="0" fontId="4" fillId="3" borderId="4" xfId="0" applyFont="1" applyFill="1" applyBorder="1" applyProtection="1">
      <alignment vertical="center"/>
    </xf>
    <xf numFmtId="0" fontId="4" fillId="3" borderId="1" xfId="0" applyFont="1" applyFill="1" applyBorder="1" applyProtection="1">
      <alignment vertical="center"/>
    </xf>
    <xf numFmtId="0" fontId="4" fillId="3" borderId="8" xfId="0" applyFont="1" applyFill="1" applyBorder="1" applyProtection="1">
      <alignment vertical="center"/>
    </xf>
    <xf numFmtId="0" fontId="4" fillId="3" borderId="3" xfId="0" applyFont="1" applyFill="1" applyBorder="1" applyProtection="1">
      <alignment vertical="center"/>
    </xf>
    <xf numFmtId="0" fontId="4" fillId="3" borderId="9" xfId="0" applyFont="1" applyFill="1" applyBorder="1" applyProtection="1">
      <alignment vertical="center"/>
    </xf>
    <xf numFmtId="0" fontId="3" fillId="4" borderId="1" xfId="0" applyFont="1" applyFill="1" applyBorder="1" applyProtection="1">
      <alignment vertical="center"/>
    </xf>
    <xf numFmtId="176" fontId="3" fillId="4" borderId="1" xfId="0" applyNumberFormat="1" applyFont="1" applyFill="1" applyBorder="1" applyProtection="1">
      <alignment vertical="center"/>
    </xf>
    <xf numFmtId="3" fontId="3" fillId="0" borderId="4" xfId="0" applyNumberFormat="1" applyFont="1" applyFill="1" applyBorder="1" applyProtection="1">
      <alignment vertical="center"/>
    </xf>
    <xf numFmtId="3" fontId="3" fillId="0" borderId="1" xfId="0" applyNumberFormat="1" applyFont="1" applyFill="1" applyBorder="1" applyProtection="1">
      <alignment vertical="center"/>
    </xf>
    <xf numFmtId="3" fontId="3" fillId="0" borderId="4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Protection="1">
      <alignment vertical="center"/>
    </xf>
    <xf numFmtId="3" fontId="0" fillId="0" borderId="0" xfId="0" applyNumberFormat="1" applyFill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176" fontId="3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Alignment="1"/>
    <xf numFmtId="0" fontId="14" fillId="0" borderId="0" xfId="0" applyFont="1">
      <alignment vertical="center"/>
    </xf>
    <xf numFmtId="0" fontId="3" fillId="0" borderId="0" xfId="0" applyFont="1" applyAlignment="1"/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4" fillId="0" borderId="11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0" fillId="0" borderId="12" xfId="0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6" fontId="11" fillId="0" borderId="0" xfId="2" applyFont="1" applyBorder="1" applyAlignment="1">
      <alignment vertical="center"/>
    </xf>
    <xf numFmtId="0" fontId="3" fillId="0" borderId="0" xfId="0" applyFont="1" applyFill="1" applyAlignment="1"/>
    <xf numFmtId="0" fontId="3" fillId="0" borderId="0" xfId="0" applyFont="1" applyFill="1" applyBorder="1" applyAlignment="1"/>
    <xf numFmtId="0" fontId="3" fillId="0" borderId="11" xfId="0" applyFont="1" applyFill="1" applyBorder="1" applyAlignment="1"/>
    <xf numFmtId="0" fontId="3" fillId="0" borderId="10" xfId="0" applyFont="1" applyFill="1" applyBorder="1" applyAlignment="1"/>
    <xf numFmtId="0" fontId="0" fillId="0" borderId="10" xfId="0" applyFill="1" applyBorder="1" applyAlignment="1"/>
    <xf numFmtId="0" fontId="0" fillId="0" borderId="11" xfId="0" applyFill="1" applyBorder="1" applyAlignment="1"/>
    <xf numFmtId="6" fontId="14" fillId="0" borderId="12" xfId="2" applyFont="1" applyFill="1" applyBorder="1" applyAlignment="1">
      <alignment vertical="center"/>
    </xf>
    <xf numFmtId="0" fontId="14" fillId="0" borderId="12" xfId="0" applyFont="1" applyFill="1" applyBorder="1" applyAlignment="1">
      <alignment horizontal="center" vertical="center"/>
    </xf>
    <xf numFmtId="180" fontId="14" fillId="0" borderId="12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14" fillId="0" borderId="16" xfId="0" applyFont="1" applyBorder="1">
      <alignment vertical="center"/>
    </xf>
    <xf numFmtId="181" fontId="14" fillId="0" borderId="17" xfId="2" applyNumberFormat="1" applyFont="1" applyFill="1" applyBorder="1" applyAlignment="1">
      <alignment vertical="center"/>
    </xf>
    <xf numFmtId="181" fontId="14" fillId="0" borderId="12" xfId="2" applyNumberFormat="1" applyFont="1" applyFill="1" applyBorder="1" applyAlignment="1">
      <alignment vertical="center"/>
    </xf>
    <xf numFmtId="0" fontId="14" fillId="0" borderId="17" xfId="0" applyFont="1" applyFill="1" applyBorder="1">
      <alignment vertical="center"/>
    </xf>
    <xf numFmtId="0" fontId="14" fillId="0" borderId="12" xfId="0" applyFont="1" applyFill="1" applyBorder="1">
      <alignment vertical="center"/>
    </xf>
    <xf numFmtId="0" fontId="14" fillId="0" borderId="18" xfId="0" applyFont="1" applyFill="1" applyBorder="1">
      <alignment vertical="center"/>
    </xf>
    <xf numFmtId="0" fontId="14" fillId="0" borderId="3" xfId="0" applyFont="1" applyFill="1" applyBorder="1">
      <alignment vertical="center"/>
    </xf>
    <xf numFmtId="0" fontId="0" fillId="0" borderId="3" xfId="0" applyBorder="1">
      <alignment vertical="center"/>
    </xf>
    <xf numFmtId="182" fontId="14" fillId="0" borderId="3" xfId="0" applyNumberFormat="1" applyFont="1" applyFill="1" applyBorder="1" applyAlignment="1">
      <alignment horizontal="center" vertical="center"/>
    </xf>
    <xf numFmtId="0" fontId="15" fillId="0" borderId="19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5" fillId="0" borderId="0" xfId="0" applyFont="1">
      <alignment vertical="center"/>
    </xf>
    <xf numFmtId="0" fontId="9" fillId="0" borderId="10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11" xfId="0" applyFont="1" applyFill="1" applyBorder="1">
      <alignment vertical="center"/>
    </xf>
    <xf numFmtId="0" fontId="15" fillId="0" borderId="0" xfId="0" applyFont="1" applyAlignment="1"/>
    <xf numFmtId="0" fontId="0" fillId="0" borderId="19" xfId="0" applyBorder="1">
      <alignment vertical="center"/>
    </xf>
    <xf numFmtId="0" fontId="26" fillId="0" borderId="0" xfId="0" applyFont="1" applyBorder="1">
      <alignment vertical="center"/>
    </xf>
    <xf numFmtId="0" fontId="26" fillId="0" borderId="0" xfId="0" applyFont="1">
      <alignment vertical="center"/>
    </xf>
    <xf numFmtId="0" fontId="3" fillId="5" borderId="8" xfId="0" applyFont="1" applyFill="1" applyBorder="1" applyProtection="1">
      <alignment vertical="center"/>
      <protection locked="0"/>
    </xf>
    <xf numFmtId="176" fontId="3" fillId="4" borderId="9" xfId="0" applyNumberFormat="1" applyFont="1" applyFill="1" applyBorder="1" applyProtection="1">
      <alignment vertical="center"/>
    </xf>
    <xf numFmtId="0" fontId="28" fillId="0" borderId="0" xfId="0" applyFont="1">
      <alignment vertical="center"/>
    </xf>
    <xf numFmtId="0" fontId="3" fillId="13" borderId="1" xfId="0" applyFont="1" applyFill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0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 vertical="center"/>
    </xf>
    <xf numFmtId="182" fontId="8" fillId="0" borderId="17" xfId="2" applyNumberFormat="1" applyFont="1" applyFill="1" applyBorder="1" applyAlignment="1">
      <alignment horizontal="right" vertical="center" shrinkToFit="1"/>
    </xf>
    <xf numFmtId="182" fontId="8" fillId="0" borderId="12" xfId="2" applyNumberFormat="1" applyFont="1" applyFill="1" applyBorder="1" applyAlignment="1">
      <alignment horizontal="right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182" fontId="14" fillId="0" borderId="12" xfId="2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/>
    </xf>
    <xf numFmtId="0" fontId="22" fillId="0" borderId="19" xfId="0" applyFont="1" applyBorder="1" applyAlignment="1">
      <alignment horizontal="center" vertical="center"/>
    </xf>
    <xf numFmtId="182" fontId="8" fillId="0" borderId="12" xfId="2" applyNumberFormat="1" applyFont="1" applyFill="1" applyBorder="1" applyAlignment="1">
      <alignment horizontal="right" vertical="center"/>
    </xf>
    <xf numFmtId="182" fontId="8" fillId="0" borderId="21" xfId="2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center"/>
    </xf>
    <xf numFmtId="182" fontId="19" fillId="0" borderId="0" xfId="2" applyNumberFormat="1" applyFont="1" applyBorder="1" applyAlignment="1">
      <alignment horizontal="right" vertical="center"/>
    </xf>
    <xf numFmtId="182" fontId="19" fillId="0" borderId="14" xfId="2" applyNumberFormat="1" applyFont="1" applyBorder="1" applyAlignment="1">
      <alignment horizontal="right" vertical="center"/>
    </xf>
    <xf numFmtId="0" fontId="9" fillId="8" borderId="26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9" fillId="8" borderId="25" xfId="0" applyFont="1" applyFill="1" applyBorder="1" applyAlignment="1">
      <alignment horizontal="center" vertical="center"/>
    </xf>
    <xf numFmtId="0" fontId="10" fillId="7" borderId="23" xfId="0" applyFont="1" applyFill="1" applyBorder="1" applyAlignment="1" applyProtection="1">
      <alignment horizontal="center" vertical="center"/>
      <protection locked="0"/>
    </xf>
    <xf numFmtId="0" fontId="10" fillId="7" borderId="24" xfId="0" applyFont="1" applyFill="1" applyBorder="1" applyAlignment="1" applyProtection="1">
      <alignment horizontal="center" vertical="center"/>
      <protection locked="0"/>
    </xf>
    <xf numFmtId="0" fontId="10" fillId="7" borderId="25" xfId="0" applyFont="1" applyFill="1" applyBorder="1" applyAlignment="1" applyProtection="1">
      <alignment horizontal="center" vertical="center"/>
      <protection locked="0"/>
    </xf>
    <xf numFmtId="182" fontId="10" fillId="7" borderId="1" xfId="2" applyNumberFormat="1" applyFont="1" applyFill="1" applyBorder="1" applyAlignment="1" applyProtection="1">
      <alignment horizontal="right" vertical="center"/>
      <protection locked="0"/>
    </xf>
    <xf numFmtId="0" fontId="23" fillId="0" borderId="3" xfId="0" applyFont="1" applyBorder="1" applyAlignment="1">
      <alignment horizontal="right" vertical="center"/>
    </xf>
    <xf numFmtId="182" fontId="23" fillId="0" borderId="3" xfId="2" applyNumberFormat="1" applyFont="1" applyFill="1" applyBorder="1" applyAlignment="1">
      <alignment horizontal="center" vertical="center"/>
    </xf>
    <xf numFmtId="182" fontId="23" fillId="0" borderId="22" xfId="2" applyNumberFormat="1" applyFont="1" applyFill="1" applyBorder="1" applyAlignment="1">
      <alignment horizontal="center" vertical="center"/>
    </xf>
    <xf numFmtId="0" fontId="10" fillId="7" borderId="8" xfId="0" applyFont="1" applyFill="1" applyBorder="1" applyAlignment="1" applyProtection="1">
      <alignment horizontal="center" vertical="center"/>
      <protection locked="0"/>
    </xf>
    <xf numFmtId="0" fontId="10" fillId="7" borderId="3" xfId="0" applyFont="1" applyFill="1" applyBorder="1" applyAlignment="1" applyProtection="1">
      <alignment horizontal="center" vertical="center"/>
      <protection locked="0"/>
    </xf>
    <xf numFmtId="0" fontId="10" fillId="7" borderId="4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>
      <alignment horizontal="center" vertical="center" wrapText="1"/>
    </xf>
    <xf numFmtId="182" fontId="8" fillId="0" borderId="12" xfId="0" applyNumberFormat="1" applyFont="1" applyFill="1" applyBorder="1" applyAlignment="1">
      <alignment horizontal="right" vertical="center" shrinkToFit="1"/>
    </xf>
    <xf numFmtId="182" fontId="8" fillId="0" borderId="21" xfId="0" applyNumberFormat="1" applyFont="1" applyFill="1" applyBorder="1" applyAlignment="1">
      <alignment horizontal="right" vertical="center" shrinkToFit="1"/>
    </xf>
    <xf numFmtId="182" fontId="14" fillId="0" borderId="12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27" fillId="9" borderId="29" xfId="0" applyFont="1" applyFill="1" applyBorder="1" applyAlignment="1">
      <alignment horizontal="center" vertical="center"/>
    </xf>
    <xf numFmtId="0" fontId="27" fillId="9" borderId="19" xfId="0" applyFont="1" applyFill="1" applyBorder="1" applyAlignment="1">
      <alignment horizontal="center" vertical="center"/>
    </xf>
    <xf numFmtId="0" fontId="27" fillId="9" borderId="30" xfId="0" applyFont="1" applyFill="1" applyBorder="1" applyAlignment="1">
      <alignment horizontal="center" vertical="center"/>
    </xf>
    <xf numFmtId="0" fontId="27" fillId="9" borderId="17" xfId="0" applyFont="1" applyFill="1" applyBorder="1" applyAlignment="1">
      <alignment horizontal="center" vertical="center"/>
    </xf>
    <xf numFmtId="0" fontId="27" fillId="9" borderId="12" xfId="0" applyFont="1" applyFill="1" applyBorder="1" applyAlignment="1">
      <alignment horizontal="center" vertical="center"/>
    </xf>
    <xf numFmtId="0" fontId="27" fillId="9" borderId="21" xfId="0" applyFont="1" applyFill="1" applyBorder="1" applyAlignment="1">
      <alignment horizontal="center" vertical="center"/>
    </xf>
    <xf numFmtId="182" fontId="18" fillId="0" borderId="0" xfId="2" applyNumberFormat="1" applyFont="1" applyFill="1" applyBorder="1" applyAlignment="1">
      <alignment horizontal="center" vertical="center"/>
    </xf>
    <xf numFmtId="182" fontId="18" fillId="0" borderId="26" xfId="2" applyNumberFormat="1" applyFont="1" applyBorder="1" applyAlignment="1">
      <alignment horizontal="center" vertical="center"/>
    </xf>
    <xf numFmtId="182" fontId="18" fillId="0" borderId="24" xfId="2" applyNumberFormat="1" applyFont="1" applyBorder="1" applyAlignment="1">
      <alignment horizontal="center" vertical="center"/>
    </xf>
    <xf numFmtId="182" fontId="18" fillId="0" borderId="27" xfId="2" applyNumberFormat="1" applyFont="1" applyBorder="1" applyAlignment="1">
      <alignment horizontal="center" vertical="center"/>
    </xf>
    <xf numFmtId="182" fontId="18" fillId="0" borderId="10" xfId="2" applyNumberFormat="1" applyFont="1" applyBorder="1" applyAlignment="1">
      <alignment horizontal="center" vertical="center"/>
    </xf>
    <xf numFmtId="182" fontId="18" fillId="0" borderId="0" xfId="2" applyNumberFormat="1" applyFont="1" applyBorder="1" applyAlignment="1">
      <alignment horizontal="center" vertical="center"/>
    </xf>
    <xf numFmtId="182" fontId="18" fillId="0" borderId="11" xfId="2" applyNumberFormat="1" applyFont="1" applyBorder="1" applyAlignment="1">
      <alignment horizontal="center" vertical="center"/>
    </xf>
    <xf numFmtId="182" fontId="18" fillId="0" borderId="13" xfId="2" applyNumberFormat="1" applyFont="1" applyBorder="1" applyAlignment="1">
      <alignment horizontal="center" vertical="center"/>
    </xf>
    <xf numFmtId="182" fontId="18" fillId="0" borderId="14" xfId="2" applyNumberFormat="1" applyFont="1" applyBorder="1" applyAlignment="1">
      <alignment horizontal="center" vertical="center"/>
    </xf>
    <xf numFmtId="182" fontId="18" fillId="0" borderId="15" xfId="2" applyNumberFormat="1" applyFont="1" applyBorder="1" applyAlignment="1">
      <alignment horizontal="center" vertical="center"/>
    </xf>
    <xf numFmtId="0" fontId="24" fillId="8" borderId="31" xfId="0" applyFont="1" applyFill="1" applyBorder="1" applyAlignment="1">
      <alignment horizontal="center" vertical="center"/>
    </xf>
    <xf numFmtId="0" fontId="24" fillId="8" borderId="19" xfId="0" applyFont="1" applyFill="1" applyBorder="1" applyAlignment="1">
      <alignment horizontal="center" vertical="center"/>
    </xf>
    <xf numFmtId="0" fontId="24" fillId="8" borderId="32" xfId="0" applyFont="1" applyFill="1" applyBorder="1" applyAlignment="1">
      <alignment horizontal="center" vertical="center"/>
    </xf>
    <xf numFmtId="0" fontId="24" fillId="8" borderId="33" xfId="0" applyFont="1" applyFill="1" applyBorder="1" applyAlignment="1">
      <alignment horizontal="center" vertical="center"/>
    </xf>
    <xf numFmtId="0" fontId="24" fillId="8" borderId="12" xfId="0" applyFont="1" applyFill="1" applyBorder="1" applyAlignment="1">
      <alignment horizontal="center" vertical="center"/>
    </xf>
    <xf numFmtId="0" fontId="24" fillId="8" borderId="34" xfId="0" applyFont="1" applyFill="1" applyBorder="1" applyAlignment="1">
      <alignment horizontal="center" vertical="center"/>
    </xf>
    <xf numFmtId="0" fontId="24" fillId="8" borderId="31" xfId="0" applyFont="1" applyFill="1" applyBorder="1" applyAlignment="1">
      <alignment horizontal="center" vertical="center" wrapText="1"/>
    </xf>
    <xf numFmtId="0" fontId="24" fillId="8" borderId="6" xfId="0" applyFont="1" applyFill="1" applyBorder="1" applyAlignment="1">
      <alignment horizontal="center" vertical="center"/>
    </xf>
    <xf numFmtId="0" fontId="24" fillId="8" borderId="0" xfId="0" applyFont="1" applyFill="1" applyBorder="1" applyAlignment="1">
      <alignment horizontal="center" vertical="center"/>
    </xf>
    <xf numFmtId="0" fontId="8" fillId="10" borderId="29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/>
    </xf>
    <xf numFmtId="0" fontId="8" fillId="10" borderId="30" xfId="0" applyFont="1" applyFill="1" applyBorder="1" applyAlignment="1">
      <alignment horizontal="center" vertical="center"/>
    </xf>
    <xf numFmtId="0" fontId="8" fillId="10" borderId="17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0" fontId="8" fillId="10" borderId="21" xfId="0" applyFont="1" applyFill="1" applyBorder="1" applyAlignment="1">
      <alignment horizontal="center" vertical="center"/>
    </xf>
    <xf numFmtId="0" fontId="8" fillId="11" borderId="29" xfId="0" applyFont="1" applyFill="1" applyBorder="1" applyAlignment="1">
      <alignment horizontal="center" vertical="center"/>
    </xf>
    <xf numFmtId="0" fontId="8" fillId="11" borderId="19" xfId="0" applyFont="1" applyFill="1" applyBorder="1" applyAlignment="1">
      <alignment horizontal="center" vertical="center"/>
    </xf>
    <xf numFmtId="0" fontId="8" fillId="11" borderId="30" xfId="0" applyFont="1" applyFill="1" applyBorder="1" applyAlignment="1">
      <alignment horizontal="center" vertical="center"/>
    </xf>
    <xf numFmtId="0" fontId="8" fillId="11" borderId="17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8" fillId="11" borderId="21" xfId="0" applyFont="1" applyFill="1" applyBorder="1" applyAlignment="1">
      <alignment horizontal="center" vertical="center"/>
    </xf>
    <xf numFmtId="0" fontId="6" fillId="8" borderId="29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6" fillId="8" borderId="32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34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24" fillId="8" borderId="20" xfId="0" applyFont="1" applyFill="1" applyBorder="1" applyAlignment="1">
      <alignment horizontal="center" vertical="center"/>
    </xf>
    <xf numFmtId="0" fontId="24" fillId="8" borderId="35" xfId="0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9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182" fontId="8" fillId="0" borderId="12" xfId="0" applyNumberFormat="1" applyFont="1" applyFill="1" applyBorder="1" applyAlignment="1">
      <alignment horizontal="right" vertical="center"/>
    </xf>
    <xf numFmtId="182" fontId="8" fillId="0" borderId="21" xfId="0" applyNumberFormat="1" applyFont="1" applyFill="1" applyBorder="1" applyAlignment="1">
      <alignment horizontal="right" vertical="center"/>
    </xf>
    <xf numFmtId="182" fontId="11" fillId="0" borderId="0" xfId="0" applyNumberFormat="1" applyFont="1" applyFill="1" applyBorder="1" applyAlignment="1">
      <alignment horizontal="right" vertical="center" wrapText="1"/>
    </xf>
    <xf numFmtId="182" fontId="11" fillId="0" borderId="43" xfId="0" applyNumberFormat="1" applyFont="1" applyFill="1" applyBorder="1" applyAlignment="1">
      <alignment horizontal="right" vertical="center" wrapText="1"/>
    </xf>
    <xf numFmtId="182" fontId="11" fillId="0" borderId="12" xfId="0" applyNumberFormat="1" applyFont="1" applyFill="1" applyBorder="1" applyAlignment="1">
      <alignment horizontal="right" vertical="center" wrapText="1"/>
    </xf>
    <xf numFmtId="182" fontId="11" fillId="0" borderId="35" xfId="0" applyNumberFormat="1" applyFont="1" applyFill="1" applyBorder="1" applyAlignment="1">
      <alignment horizontal="right" vertical="center" wrapText="1"/>
    </xf>
    <xf numFmtId="182" fontId="10" fillId="7" borderId="28" xfId="2" applyNumberFormat="1" applyFont="1" applyFill="1" applyBorder="1" applyAlignment="1" applyProtection="1">
      <alignment horizontal="right" vertical="center"/>
      <protection locked="0"/>
    </xf>
    <xf numFmtId="183" fontId="14" fillId="0" borderId="12" xfId="0" applyNumberFormat="1" applyFont="1" applyFill="1" applyBorder="1" applyAlignment="1">
      <alignment horizontal="center" vertical="center"/>
    </xf>
    <xf numFmtId="182" fontId="10" fillId="7" borderId="23" xfId="2" applyNumberFormat="1" applyFont="1" applyFill="1" applyBorder="1" applyAlignment="1" applyProtection="1">
      <alignment horizontal="right" vertical="center"/>
      <protection locked="0"/>
    </xf>
    <xf numFmtId="182" fontId="10" fillId="7" borderId="24" xfId="2" applyNumberFormat="1" applyFont="1" applyFill="1" applyBorder="1" applyAlignment="1" applyProtection="1">
      <alignment horizontal="right" vertical="center"/>
      <protection locked="0"/>
    </xf>
    <xf numFmtId="182" fontId="10" fillId="7" borderId="40" xfId="2" applyNumberFormat="1" applyFont="1" applyFill="1" applyBorder="1" applyAlignment="1" applyProtection="1">
      <alignment horizontal="right" vertical="center"/>
      <protection locked="0"/>
    </xf>
    <xf numFmtId="0" fontId="6" fillId="8" borderId="52" xfId="0" applyFont="1" applyFill="1" applyBorder="1" applyAlignment="1">
      <alignment horizontal="center" vertical="center" wrapText="1"/>
    </xf>
    <xf numFmtId="0" fontId="0" fillId="8" borderId="37" xfId="0" applyFill="1" applyBorder="1" applyAlignment="1">
      <alignment horizontal="center" vertical="center" wrapText="1"/>
    </xf>
    <xf numFmtId="0" fontId="0" fillId="8" borderId="53" xfId="0" applyFill="1" applyBorder="1" applyAlignment="1">
      <alignment horizontal="center" vertical="center" wrapText="1"/>
    </xf>
    <xf numFmtId="0" fontId="25" fillId="8" borderId="33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35" xfId="0" applyFont="1" applyFill="1" applyBorder="1" applyAlignment="1">
      <alignment horizontal="center" vertical="center" wrapText="1"/>
    </xf>
    <xf numFmtId="182" fontId="10" fillId="0" borderId="41" xfId="2" applyNumberFormat="1" applyFont="1" applyFill="1" applyBorder="1" applyAlignment="1">
      <alignment horizontal="right" vertical="center"/>
    </xf>
    <xf numFmtId="182" fontId="10" fillId="0" borderId="24" xfId="2" applyNumberFormat="1" applyFont="1" applyFill="1" applyBorder="1" applyAlignment="1">
      <alignment horizontal="right" vertical="center"/>
    </xf>
    <xf numFmtId="182" fontId="10" fillId="0" borderId="25" xfId="2" applyNumberFormat="1" applyFont="1" applyFill="1" applyBorder="1" applyAlignment="1">
      <alignment horizontal="right" vertical="center"/>
    </xf>
    <xf numFmtId="182" fontId="11" fillId="0" borderId="44" xfId="0" applyNumberFormat="1" applyFont="1" applyFill="1" applyBorder="1" applyAlignment="1">
      <alignment horizontal="right" vertical="center" wrapText="1"/>
    </xf>
    <xf numFmtId="182" fontId="11" fillId="0" borderId="45" xfId="0" applyNumberFormat="1" applyFont="1" applyFill="1" applyBorder="1" applyAlignment="1">
      <alignment horizontal="right" vertical="center" wrapText="1"/>
    </xf>
    <xf numFmtId="0" fontId="25" fillId="0" borderId="41" xfId="0" applyFont="1" applyFill="1" applyBorder="1" applyAlignment="1">
      <alignment horizontal="center" vertical="center" wrapText="1"/>
    </xf>
    <xf numFmtId="0" fontId="23" fillId="0" borderId="24" xfId="0" applyFont="1" applyBorder="1">
      <alignment vertical="center"/>
    </xf>
    <xf numFmtId="0" fontId="23" fillId="0" borderId="46" xfId="0" applyFont="1" applyBorder="1">
      <alignment vertical="center"/>
    </xf>
    <xf numFmtId="0" fontId="23" fillId="0" borderId="44" xfId="0" applyFont="1" applyBorder="1">
      <alignment vertical="center"/>
    </xf>
    <xf numFmtId="0" fontId="8" fillId="12" borderId="29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0" fontId="8" fillId="12" borderId="30" xfId="0" applyFont="1" applyFill="1" applyBorder="1" applyAlignment="1">
      <alignment horizontal="center" vertical="center"/>
    </xf>
    <xf numFmtId="0" fontId="8" fillId="12" borderId="17" xfId="0" applyFont="1" applyFill="1" applyBorder="1" applyAlignment="1">
      <alignment horizontal="center" vertical="center"/>
    </xf>
    <xf numFmtId="0" fontId="8" fillId="12" borderId="12" xfId="0" applyFont="1" applyFill="1" applyBorder="1" applyAlignment="1">
      <alignment horizontal="center" vertical="center"/>
    </xf>
    <xf numFmtId="0" fontId="8" fillId="12" borderId="21" xfId="0" applyFont="1" applyFill="1" applyBorder="1" applyAlignment="1">
      <alignment horizontal="center" vertical="center"/>
    </xf>
    <xf numFmtId="182" fontId="10" fillId="0" borderId="47" xfId="2" applyNumberFormat="1" applyFont="1" applyFill="1" applyBorder="1" applyAlignment="1">
      <alignment horizontal="right" vertical="center"/>
    </xf>
    <xf numFmtId="182" fontId="10" fillId="0" borderId="48" xfId="2" applyNumberFormat="1" applyFont="1" applyFill="1" applyBorder="1" applyAlignment="1">
      <alignment horizontal="right" vertical="center"/>
    </xf>
    <xf numFmtId="182" fontId="10" fillId="0" borderId="49" xfId="2" applyNumberFormat="1" applyFont="1" applyFill="1" applyBorder="1" applyAlignment="1">
      <alignment horizontal="right" vertical="center"/>
    </xf>
    <xf numFmtId="0" fontId="6" fillId="8" borderId="36" xfId="0" applyFont="1" applyFill="1" applyBorder="1" applyAlignment="1">
      <alignment horizontal="center" vertical="center" wrapText="1"/>
    </xf>
    <xf numFmtId="0" fontId="6" fillId="8" borderId="37" xfId="0" applyFont="1" applyFill="1" applyBorder="1" applyAlignment="1">
      <alignment horizontal="center" vertical="center" wrapText="1"/>
    </xf>
    <xf numFmtId="0" fontId="6" fillId="8" borderId="38" xfId="0" applyFont="1" applyFill="1" applyBorder="1" applyAlignment="1">
      <alignment horizontal="center" vertical="center" wrapText="1"/>
    </xf>
    <xf numFmtId="0" fontId="6" fillId="8" borderId="39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34" xfId="0" applyFont="1" applyFill="1" applyBorder="1" applyAlignment="1">
      <alignment horizontal="center" vertical="center" wrapText="1"/>
    </xf>
    <xf numFmtId="182" fontId="10" fillId="0" borderId="50" xfId="2" applyNumberFormat="1" applyFont="1" applyFill="1" applyBorder="1" applyAlignment="1">
      <alignment horizontal="right" vertical="center"/>
    </xf>
    <xf numFmtId="182" fontId="10" fillId="0" borderId="51" xfId="2" applyNumberFormat="1" applyFont="1" applyFill="1" applyBorder="1" applyAlignment="1">
      <alignment horizontal="right" vertical="center"/>
    </xf>
    <xf numFmtId="182" fontId="10" fillId="0" borderId="40" xfId="2" applyNumberFormat="1" applyFont="1" applyFill="1" applyBorder="1" applyAlignment="1">
      <alignment horizontal="right" vertical="center"/>
    </xf>
    <xf numFmtId="182" fontId="10" fillId="0" borderId="23" xfId="2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 applyProtection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3" fillId="6" borderId="23" xfId="0" applyFont="1" applyFill="1" applyBorder="1">
      <alignment vertical="center"/>
    </xf>
    <xf numFmtId="0" fontId="13" fillId="6" borderId="24" xfId="0" applyFont="1" applyFill="1" applyBorder="1">
      <alignment vertical="center"/>
    </xf>
    <xf numFmtId="0" fontId="13" fillId="6" borderId="33" xfId="0" applyFont="1" applyFill="1" applyBorder="1">
      <alignment vertical="center"/>
    </xf>
    <xf numFmtId="0" fontId="13" fillId="6" borderId="1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53227</xdr:rowOff>
    </xdr:from>
    <xdr:to>
      <xdr:col>51</xdr:col>
      <xdr:colOff>180975</xdr:colOff>
      <xdr:row>3</xdr:row>
      <xdr:rowOff>135590</xdr:rowOff>
    </xdr:to>
    <xdr:sp macro="" textlink="">
      <xdr:nvSpPr>
        <xdr:cNvPr id="3073" name="AutoShap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441512" y="53227"/>
          <a:ext cx="10026463" cy="586628"/>
        </a:xfrm>
        <a:prstGeom prst="ribbon2">
          <a:avLst>
            <a:gd name="adj1" fmla="val 14287"/>
            <a:gd name="adj2" fmla="val 75000"/>
          </a:avLst>
        </a:prstGeom>
        <a:solidFill>
          <a:schemeClr val="bg2">
            <a:lumMod val="50000"/>
          </a:schemeClr>
        </a:solidFill>
        <a:ln w="9525">
          <a:solidFill>
            <a:schemeClr val="bg2">
              <a:lumMod val="25000"/>
            </a:schemeClr>
          </a:solidFill>
          <a:round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1" i="0" u="none" strike="noStrike" baseline="0">
              <a:solidFill>
                <a:schemeClr val="accent1">
                  <a:lumMod val="40000"/>
                  <a:lumOff val="60000"/>
                </a:schemeClr>
              </a:solidFill>
              <a:latin typeface="ＭＳ Ｐゴシック"/>
              <a:ea typeface="ＭＳ Ｐゴシック"/>
            </a:rPr>
            <a:t>令和７年度　国民健康保険料　簡易計算シート</a:t>
          </a:r>
        </a:p>
      </xdr:txBody>
    </xdr:sp>
    <xdr:clientData/>
  </xdr:twoCellAnchor>
  <xdr:oneCellAnchor>
    <xdr:from>
      <xdr:col>7</xdr:col>
      <xdr:colOff>194981</xdr:colOff>
      <xdr:row>4</xdr:row>
      <xdr:rowOff>11207</xdr:rowOff>
    </xdr:from>
    <xdr:ext cx="7914154" cy="2213372"/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>
          <a:spLocks noChangeArrowheads="1"/>
        </xdr:cNvSpPr>
      </xdr:nvSpPr>
      <xdr:spPr bwMode="auto">
        <a:xfrm>
          <a:off x="1606922" y="683560"/>
          <a:ext cx="7914154" cy="2213372"/>
        </a:xfrm>
        <a:prstGeom prst="roundRect">
          <a:avLst>
            <a:gd name="adj" fmla="val 16667"/>
          </a:avLst>
        </a:prstGeom>
        <a:solidFill>
          <a:schemeClr val="accent4">
            <a:lumMod val="40000"/>
            <a:lumOff val="60000"/>
          </a:schemeClr>
        </a:solidFill>
        <a:ln w="15875">
          <a:solidFill>
            <a:schemeClr val="accent4">
              <a:lumMod val="50000"/>
            </a:schemeClr>
          </a:solidFill>
          <a:round/>
          <a:headEnd/>
          <a:tailEnd/>
        </a:ln>
      </xdr:spPr>
      <xdr:txBody>
        <a:bodyPr vertOverflow="clip" wrap="square" lIns="36576" tIns="22860" rIns="0" bIns="0" anchor="t" upright="1">
          <a:spAutoFit/>
        </a:bodyPr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　この計算シートは簡易的なものですので、目安としてご利用ください。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　次のような場合は正しく計算できません。お手数ですがお問い合わせください。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・年度途中で加入者の人数が変更となる場合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・加入者が年度途中で４０歳になったり、６５歳になったりする場合</a:t>
          </a:r>
          <a:endParaRPr lang="en-US" altLang="ja-JP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lang="ja-JP" altLang="ja-JP" sz="14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</a:t>
          </a:r>
          <a:r>
            <a:rPr lang="ja-JP" altLang="en-US" sz="14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世帯に未就学児がいる場合</a:t>
          </a:r>
          <a:endParaRPr lang="ja-JP" altLang="en-US" sz="1400" b="1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・所得が一定基準以下の世帯で、保険料の軽減制度が適用される場合</a:t>
          </a: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・所得の急激な減少や災害などの理由で、申請により保険料減免が認められる場合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・繰越損失、専従者控除、専従者給与等がある場合</a:t>
          </a:r>
          <a:endParaRPr lang="en-US" altLang="ja-JP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　</a:t>
          </a:r>
          <a:r>
            <a:rPr lang="en-US" altLang="ja-JP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Excel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の計算方法の設定は「自動」にしてご使用ください。</a:t>
          </a:r>
        </a:p>
      </xdr:txBody>
    </xdr:sp>
    <xdr:clientData/>
  </xdr:oneCellAnchor>
  <xdr:twoCellAnchor>
    <xdr:from>
      <xdr:col>1</xdr:col>
      <xdr:colOff>179295</xdr:colOff>
      <xdr:row>18</xdr:row>
      <xdr:rowOff>134472</xdr:rowOff>
    </xdr:from>
    <xdr:to>
      <xdr:col>25</xdr:col>
      <xdr:colOff>33617</xdr:colOff>
      <xdr:row>22</xdr:row>
      <xdr:rowOff>156883</xdr:rowOff>
    </xdr:to>
    <xdr:sp macro="" textlink="">
      <xdr:nvSpPr>
        <xdr:cNvPr id="3075" name="Rectangle 3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>
          <a:spLocks noChangeArrowheads="1"/>
        </xdr:cNvSpPr>
      </xdr:nvSpPr>
      <xdr:spPr bwMode="auto">
        <a:xfrm>
          <a:off x="381001" y="3160060"/>
          <a:ext cx="4807322" cy="694764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tx2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使い方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①国民健康保険に加入する方全員の生年月日を入力してください。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②年間の収入・所得を該当するところへ入力してください。</a:t>
          </a:r>
        </a:p>
      </xdr:txBody>
    </xdr:sp>
    <xdr:clientData/>
  </xdr:twoCellAnchor>
  <xdr:twoCellAnchor>
    <xdr:from>
      <xdr:col>25</xdr:col>
      <xdr:colOff>77880</xdr:colOff>
      <xdr:row>22</xdr:row>
      <xdr:rowOff>28575</xdr:rowOff>
    </xdr:from>
    <xdr:to>
      <xdr:col>33</xdr:col>
      <xdr:colOff>123264</xdr:colOff>
      <xdr:row>24</xdr:row>
      <xdr:rowOff>112058</xdr:rowOff>
    </xdr:to>
    <xdr:sp macro="" textlink="">
      <xdr:nvSpPr>
        <xdr:cNvPr id="3080" name="AutoShape 8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>
          <a:spLocks noChangeArrowheads="1"/>
        </xdr:cNvSpPr>
      </xdr:nvSpPr>
      <xdr:spPr bwMode="auto">
        <a:xfrm>
          <a:off x="5232586" y="3726516"/>
          <a:ext cx="1659031" cy="419660"/>
        </a:xfrm>
        <a:prstGeom prst="wedgeRoundRectCallout">
          <a:avLst>
            <a:gd name="adj1" fmla="val -21793"/>
            <a:gd name="adj2" fmla="val 90239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 w="25400">
          <a:solidFill>
            <a:schemeClr val="accent4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chemeClr val="tx1">
                  <a:lumMod val="95000"/>
                  <a:lumOff val="5000"/>
                </a:schemeClr>
              </a:solidFill>
              <a:latin typeface="ＭＳ Ｐゴシック"/>
              <a:ea typeface="ＭＳ Ｐゴシック"/>
            </a:rPr>
            <a:t>年間受給額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chemeClr val="tx1">
                  <a:lumMod val="95000"/>
                  <a:lumOff val="5000"/>
                </a:schemeClr>
              </a:solidFill>
              <a:latin typeface="ＭＳ Ｐゴシック"/>
              <a:ea typeface="ＭＳ Ｐゴシック"/>
            </a:rPr>
            <a:t>（企業年金を含む）</a:t>
          </a:r>
        </a:p>
      </xdr:txBody>
    </xdr:sp>
    <xdr:clientData/>
  </xdr:twoCellAnchor>
  <xdr:twoCellAnchor>
    <xdr:from>
      <xdr:col>34</xdr:col>
      <xdr:colOff>182656</xdr:colOff>
      <xdr:row>21</xdr:row>
      <xdr:rowOff>78440</xdr:rowOff>
    </xdr:from>
    <xdr:to>
      <xdr:col>52</xdr:col>
      <xdr:colOff>116417</xdr:colOff>
      <xdr:row>25</xdr:row>
      <xdr:rowOff>112058</xdr:rowOff>
    </xdr:to>
    <xdr:sp macro="" textlink="">
      <xdr:nvSpPr>
        <xdr:cNvPr id="3081" name="AutoShape 9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>
          <a:spLocks noChangeArrowheads="1"/>
        </xdr:cNvSpPr>
      </xdr:nvSpPr>
      <xdr:spPr bwMode="auto">
        <a:xfrm>
          <a:off x="7125323" y="3634440"/>
          <a:ext cx="3701427" cy="721535"/>
        </a:xfrm>
        <a:custGeom>
          <a:avLst/>
          <a:gdLst>
            <a:gd name="connsiteX0" fmla="*/ 0 w 2977403"/>
            <a:gd name="connsiteY0" fmla="*/ 75268 h 451597"/>
            <a:gd name="connsiteX1" fmla="*/ 75268 w 2977403"/>
            <a:gd name="connsiteY1" fmla="*/ 0 h 451597"/>
            <a:gd name="connsiteX2" fmla="*/ 496234 w 2977403"/>
            <a:gd name="connsiteY2" fmla="*/ 0 h 451597"/>
            <a:gd name="connsiteX3" fmla="*/ 496234 w 2977403"/>
            <a:gd name="connsiteY3" fmla="*/ 0 h 451597"/>
            <a:gd name="connsiteX4" fmla="*/ 1240585 w 2977403"/>
            <a:gd name="connsiteY4" fmla="*/ 0 h 451597"/>
            <a:gd name="connsiteX5" fmla="*/ 2902135 w 2977403"/>
            <a:gd name="connsiteY5" fmla="*/ 0 h 451597"/>
            <a:gd name="connsiteX6" fmla="*/ 2977403 w 2977403"/>
            <a:gd name="connsiteY6" fmla="*/ 75268 h 451597"/>
            <a:gd name="connsiteX7" fmla="*/ 2977403 w 2977403"/>
            <a:gd name="connsiteY7" fmla="*/ 263432 h 451597"/>
            <a:gd name="connsiteX8" fmla="*/ 2977403 w 2977403"/>
            <a:gd name="connsiteY8" fmla="*/ 263432 h 451597"/>
            <a:gd name="connsiteX9" fmla="*/ 2977403 w 2977403"/>
            <a:gd name="connsiteY9" fmla="*/ 376331 h 451597"/>
            <a:gd name="connsiteX10" fmla="*/ 2977403 w 2977403"/>
            <a:gd name="connsiteY10" fmla="*/ 376329 h 451597"/>
            <a:gd name="connsiteX11" fmla="*/ 2902135 w 2977403"/>
            <a:gd name="connsiteY11" fmla="*/ 451597 h 451597"/>
            <a:gd name="connsiteX12" fmla="*/ 1240585 w 2977403"/>
            <a:gd name="connsiteY12" fmla="*/ 451597 h 451597"/>
            <a:gd name="connsiteX13" fmla="*/ 209937 w 2977403"/>
            <a:gd name="connsiteY13" fmla="*/ 665785 h 451597"/>
            <a:gd name="connsiteX14" fmla="*/ 496234 w 2977403"/>
            <a:gd name="connsiteY14" fmla="*/ 451597 h 451597"/>
            <a:gd name="connsiteX15" fmla="*/ 75268 w 2977403"/>
            <a:gd name="connsiteY15" fmla="*/ 451597 h 451597"/>
            <a:gd name="connsiteX16" fmla="*/ 0 w 2977403"/>
            <a:gd name="connsiteY16" fmla="*/ 376329 h 451597"/>
            <a:gd name="connsiteX17" fmla="*/ 0 w 2977403"/>
            <a:gd name="connsiteY17" fmla="*/ 376331 h 451597"/>
            <a:gd name="connsiteX18" fmla="*/ 0 w 2977403"/>
            <a:gd name="connsiteY18" fmla="*/ 263432 h 451597"/>
            <a:gd name="connsiteX19" fmla="*/ 0 w 2977403"/>
            <a:gd name="connsiteY19" fmla="*/ 263432 h 451597"/>
            <a:gd name="connsiteX20" fmla="*/ 0 w 2977403"/>
            <a:gd name="connsiteY20" fmla="*/ 75268 h 451597"/>
            <a:gd name="connsiteX0" fmla="*/ 0 w 2977403"/>
            <a:gd name="connsiteY0" fmla="*/ 75268 h 665785"/>
            <a:gd name="connsiteX1" fmla="*/ 75268 w 2977403"/>
            <a:gd name="connsiteY1" fmla="*/ 0 h 665785"/>
            <a:gd name="connsiteX2" fmla="*/ 496234 w 2977403"/>
            <a:gd name="connsiteY2" fmla="*/ 0 h 665785"/>
            <a:gd name="connsiteX3" fmla="*/ 496234 w 2977403"/>
            <a:gd name="connsiteY3" fmla="*/ 0 h 665785"/>
            <a:gd name="connsiteX4" fmla="*/ 1240585 w 2977403"/>
            <a:gd name="connsiteY4" fmla="*/ 0 h 665785"/>
            <a:gd name="connsiteX5" fmla="*/ 2902135 w 2977403"/>
            <a:gd name="connsiteY5" fmla="*/ 0 h 665785"/>
            <a:gd name="connsiteX6" fmla="*/ 2977403 w 2977403"/>
            <a:gd name="connsiteY6" fmla="*/ 75268 h 665785"/>
            <a:gd name="connsiteX7" fmla="*/ 2977403 w 2977403"/>
            <a:gd name="connsiteY7" fmla="*/ 263432 h 665785"/>
            <a:gd name="connsiteX8" fmla="*/ 2977403 w 2977403"/>
            <a:gd name="connsiteY8" fmla="*/ 263432 h 665785"/>
            <a:gd name="connsiteX9" fmla="*/ 2977403 w 2977403"/>
            <a:gd name="connsiteY9" fmla="*/ 376331 h 665785"/>
            <a:gd name="connsiteX10" fmla="*/ 2977403 w 2977403"/>
            <a:gd name="connsiteY10" fmla="*/ 376329 h 665785"/>
            <a:gd name="connsiteX11" fmla="*/ 2902135 w 2977403"/>
            <a:gd name="connsiteY11" fmla="*/ 451597 h 665785"/>
            <a:gd name="connsiteX12" fmla="*/ 736320 w 2977403"/>
            <a:gd name="connsiteY12" fmla="*/ 474008 h 665785"/>
            <a:gd name="connsiteX13" fmla="*/ 209937 w 2977403"/>
            <a:gd name="connsiteY13" fmla="*/ 665785 h 665785"/>
            <a:gd name="connsiteX14" fmla="*/ 496234 w 2977403"/>
            <a:gd name="connsiteY14" fmla="*/ 451597 h 665785"/>
            <a:gd name="connsiteX15" fmla="*/ 75268 w 2977403"/>
            <a:gd name="connsiteY15" fmla="*/ 451597 h 665785"/>
            <a:gd name="connsiteX16" fmla="*/ 0 w 2977403"/>
            <a:gd name="connsiteY16" fmla="*/ 376329 h 665785"/>
            <a:gd name="connsiteX17" fmla="*/ 0 w 2977403"/>
            <a:gd name="connsiteY17" fmla="*/ 376331 h 665785"/>
            <a:gd name="connsiteX18" fmla="*/ 0 w 2977403"/>
            <a:gd name="connsiteY18" fmla="*/ 263432 h 665785"/>
            <a:gd name="connsiteX19" fmla="*/ 0 w 2977403"/>
            <a:gd name="connsiteY19" fmla="*/ 263432 h 665785"/>
            <a:gd name="connsiteX20" fmla="*/ 0 w 2977403"/>
            <a:gd name="connsiteY20" fmla="*/ 75268 h 665785"/>
            <a:gd name="connsiteX0" fmla="*/ 0 w 2977403"/>
            <a:gd name="connsiteY0" fmla="*/ 75268 h 665785"/>
            <a:gd name="connsiteX1" fmla="*/ 75268 w 2977403"/>
            <a:gd name="connsiteY1" fmla="*/ 0 h 665785"/>
            <a:gd name="connsiteX2" fmla="*/ 496234 w 2977403"/>
            <a:gd name="connsiteY2" fmla="*/ 0 h 665785"/>
            <a:gd name="connsiteX3" fmla="*/ 496234 w 2977403"/>
            <a:gd name="connsiteY3" fmla="*/ 0 h 665785"/>
            <a:gd name="connsiteX4" fmla="*/ 1240585 w 2977403"/>
            <a:gd name="connsiteY4" fmla="*/ 0 h 665785"/>
            <a:gd name="connsiteX5" fmla="*/ 2902135 w 2977403"/>
            <a:gd name="connsiteY5" fmla="*/ 0 h 665785"/>
            <a:gd name="connsiteX6" fmla="*/ 2977403 w 2977403"/>
            <a:gd name="connsiteY6" fmla="*/ 75268 h 665785"/>
            <a:gd name="connsiteX7" fmla="*/ 2977403 w 2977403"/>
            <a:gd name="connsiteY7" fmla="*/ 263432 h 665785"/>
            <a:gd name="connsiteX8" fmla="*/ 2977403 w 2977403"/>
            <a:gd name="connsiteY8" fmla="*/ 263432 h 665785"/>
            <a:gd name="connsiteX9" fmla="*/ 2977403 w 2977403"/>
            <a:gd name="connsiteY9" fmla="*/ 376331 h 665785"/>
            <a:gd name="connsiteX10" fmla="*/ 2977403 w 2977403"/>
            <a:gd name="connsiteY10" fmla="*/ 376329 h 665785"/>
            <a:gd name="connsiteX11" fmla="*/ 2902135 w 2977403"/>
            <a:gd name="connsiteY11" fmla="*/ 451597 h 665785"/>
            <a:gd name="connsiteX12" fmla="*/ 736320 w 2977403"/>
            <a:gd name="connsiteY12" fmla="*/ 474008 h 665785"/>
            <a:gd name="connsiteX13" fmla="*/ 209937 w 2977403"/>
            <a:gd name="connsiteY13" fmla="*/ 665785 h 665785"/>
            <a:gd name="connsiteX14" fmla="*/ 294528 w 2977403"/>
            <a:gd name="connsiteY14" fmla="*/ 485215 h 665785"/>
            <a:gd name="connsiteX15" fmla="*/ 75268 w 2977403"/>
            <a:gd name="connsiteY15" fmla="*/ 451597 h 665785"/>
            <a:gd name="connsiteX16" fmla="*/ 0 w 2977403"/>
            <a:gd name="connsiteY16" fmla="*/ 376329 h 665785"/>
            <a:gd name="connsiteX17" fmla="*/ 0 w 2977403"/>
            <a:gd name="connsiteY17" fmla="*/ 376331 h 665785"/>
            <a:gd name="connsiteX18" fmla="*/ 0 w 2977403"/>
            <a:gd name="connsiteY18" fmla="*/ 263432 h 665785"/>
            <a:gd name="connsiteX19" fmla="*/ 0 w 2977403"/>
            <a:gd name="connsiteY19" fmla="*/ 263432 h 665785"/>
            <a:gd name="connsiteX20" fmla="*/ 0 w 2977403"/>
            <a:gd name="connsiteY20" fmla="*/ 75268 h 665785"/>
            <a:gd name="connsiteX0" fmla="*/ 0 w 2977403"/>
            <a:gd name="connsiteY0" fmla="*/ 75268 h 665785"/>
            <a:gd name="connsiteX1" fmla="*/ 75268 w 2977403"/>
            <a:gd name="connsiteY1" fmla="*/ 0 h 665785"/>
            <a:gd name="connsiteX2" fmla="*/ 496234 w 2977403"/>
            <a:gd name="connsiteY2" fmla="*/ 0 h 665785"/>
            <a:gd name="connsiteX3" fmla="*/ 496234 w 2977403"/>
            <a:gd name="connsiteY3" fmla="*/ 0 h 665785"/>
            <a:gd name="connsiteX4" fmla="*/ 1240585 w 2977403"/>
            <a:gd name="connsiteY4" fmla="*/ 0 h 665785"/>
            <a:gd name="connsiteX5" fmla="*/ 2902135 w 2977403"/>
            <a:gd name="connsiteY5" fmla="*/ 0 h 665785"/>
            <a:gd name="connsiteX6" fmla="*/ 2977403 w 2977403"/>
            <a:gd name="connsiteY6" fmla="*/ 75268 h 665785"/>
            <a:gd name="connsiteX7" fmla="*/ 2977403 w 2977403"/>
            <a:gd name="connsiteY7" fmla="*/ 263432 h 665785"/>
            <a:gd name="connsiteX8" fmla="*/ 2977403 w 2977403"/>
            <a:gd name="connsiteY8" fmla="*/ 263432 h 665785"/>
            <a:gd name="connsiteX9" fmla="*/ 2977403 w 2977403"/>
            <a:gd name="connsiteY9" fmla="*/ 376331 h 665785"/>
            <a:gd name="connsiteX10" fmla="*/ 2977403 w 2977403"/>
            <a:gd name="connsiteY10" fmla="*/ 376329 h 665785"/>
            <a:gd name="connsiteX11" fmla="*/ 2902135 w 2977403"/>
            <a:gd name="connsiteY11" fmla="*/ 451597 h 665785"/>
            <a:gd name="connsiteX12" fmla="*/ 512202 w 2977403"/>
            <a:gd name="connsiteY12" fmla="*/ 485214 h 665785"/>
            <a:gd name="connsiteX13" fmla="*/ 209937 w 2977403"/>
            <a:gd name="connsiteY13" fmla="*/ 665785 h 665785"/>
            <a:gd name="connsiteX14" fmla="*/ 294528 w 2977403"/>
            <a:gd name="connsiteY14" fmla="*/ 485215 h 665785"/>
            <a:gd name="connsiteX15" fmla="*/ 75268 w 2977403"/>
            <a:gd name="connsiteY15" fmla="*/ 451597 h 665785"/>
            <a:gd name="connsiteX16" fmla="*/ 0 w 2977403"/>
            <a:gd name="connsiteY16" fmla="*/ 376329 h 665785"/>
            <a:gd name="connsiteX17" fmla="*/ 0 w 2977403"/>
            <a:gd name="connsiteY17" fmla="*/ 376331 h 665785"/>
            <a:gd name="connsiteX18" fmla="*/ 0 w 2977403"/>
            <a:gd name="connsiteY18" fmla="*/ 263432 h 665785"/>
            <a:gd name="connsiteX19" fmla="*/ 0 w 2977403"/>
            <a:gd name="connsiteY19" fmla="*/ 263432 h 665785"/>
            <a:gd name="connsiteX20" fmla="*/ 0 w 2977403"/>
            <a:gd name="connsiteY20" fmla="*/ 75268 h 6657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2977403" h="665785">
              <a:moveTo>
                <a:pt x="0" y="75268"/>
              </a:moveTo>
              <a:cubicBezTo>
                <a:pt x="0" y="33699"/>
                <a:pt x="33699" y="0"/>
                <a:pt x="75268" y="0"/>
              </a:cubicBezTo>
              <a:lnTo>
                <a:pt x="496234" y="0"/>
              </a:lnTo>
              <a:lnTo>
                <a:pt x="496234" y="0"/>
              </a:lnTo>
              <a:lnTo>
                <a:pt x="1240585" y="0"/>
              </a:lnTo>
              <a:lnTo>
                <a:pt x="2902135" y="0"/>
              </a:lnTo>
              <a:cubicBezTo>
                <a:pt x="2943704" y="0"/>
                <a:pt x="2977403" y="33699"/>
                <a:pt x="2977403" y="75268"/>
              </a:cubicBezTo>
              <a:lnTo>
                <a:pt x="2977403" y="263432"/>
              </a:lnTo>
              <a:lnTo>
                <a:pt x="2977403" y="263432"/>
              </a:lnTo>
              <a:lnTo>
                <a:pt x="2977403" y="376331"/>
              </a:lnTo>
              <a:lnTo>
                <a:pt x="2977403" y="376329"/>
              </a:lnTo>
              <a:cubicBezTo>
                <a:pt x="2977403" y="417898"/>
                <a:pt x="2943704" y="451597"/>
                <a:pt x="2902135" y="451597"/>
              </a:cubicBezTo>
              <a:lnTo>
                <a:pt x="512202" y="485214"/>
              </a:lnTo>
              <a:lnTo>
                <a:pt x="209937" y="665785"/>
              </a:lnTo>
              <a:lnTo>
                <a:pt x="294528" y="485215"/>
              </a:lnTo>
              <a:lnTo>
                <a:pt x="75268" y="451597"/>
              </a:lnTo>
              <a:cubicBezTo>
                <a:pt x="33699" y="451597"/>
                <a:pt x="0" y="417898"/>
                <a:pt x="0" y="376329"/>
              </a:cubicBezTo>
              <a:lnTo>
                <a:pt x="0" y="376331"/>
              </a:lnTo>
              <a:lnTo>
                <a:pt x="0" y="263432"/>
              </a:lnTo>
              <a:lnTo>
                <a:pt x="0" y="263432"/>
              </a:lnTo>
              <a:lnTo>
                <a:pt x="0" y="75268"/>
              </a:lnTo>
              <a:close/>
            </a:path>
          </a:pathLst>
        </a:custGeom>
        <a:solidFill>
          <a:schemeClr val="accent4">
            <a:lumMod val="40000"/>
            <a:lumOff val="60000"/>
          </a:schemeClr>
        </a:solidFill>
        <a:ln w="25400">
          <a:solidFill>
            <a:schemeClr val="accent4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chemeClr val="tx1">
                  <a:lumMod val="95000"/>
                  <a:lumOff val="5000"/>
                </a:schemeClr>
              </a:solidFill>
              <a:latin typeface="ＭＳ Ｐゴシック"/>
              <a:ea typeface="ＭＳ Ｐゴシック"/>
            </a:rPr>
            <a:t>給与・年金以外の所得</a:t>
          </a:r>
          <a:r>
            <a:rPr lang="en-US" altLang="ja-JP" sz="1100" b="0" i="0" u="none" strike="noStrike" baseline="0">
              <a:solidFill>
                <a:schemeClr val="tx1">
                  <a:lumMod val="95000"/>
                  <a:lumOff val="5000"/>
                </a:schemeClr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chemeClr val="tx1">
                  <a:lumMod val="95000"/>
                  <a:lumOff val="5000"/>
                </a:schemeClr>
              </a:solidFill>
              <a:latin typeface="ＭＳ Ｐゴシック"/>
              <a:ea typeface="ＭＳ Ｐゴシック"/>
            </a:rPr>
            <a:t>営業・不動産所得・譲渡所得など</a:t>
          </a:r>
          <a:r>
            <a:rPr lang="en-US" altLang="ja-JP" sz="1100" b="0" i="0" u="none" strike="noStrike" baseline="0">
              <a:solidFill>
                <a:schemeClr val="tx1">
                  <a:lumMod val="95000"/>
                  <a:lumOff val="5000"/>
                </a:schemeClr>
              </a:solidFill>
              <a:latin typeface="ＭＳ Ｐゴシック"/>
              <a:ea typeface="ＭＳ Ｐゴシック"/>
            </a:rPr>
            <a:t>)</a:t>
          </a:r>
          <a:endParaRPr lang="ja-JP" altLang="en-US" sz="1100" b="0" i="0" u="none" strike="noStrike" baseline="0">
            <a:solidFill>
              <a:schemeClr val="tx1">
                <a:lumMod val="95000"/>
                <a:lumOff val="5000"/>
              </a:schemeClr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chemeClr val="tx1">
                  <a:lumMod val="95000"/>
                  <a:lumOff val="5000"/>
                </a:schemeClr>
              </a:solidFill>
              <a:latin typeface="ＭＳ Ｐゴシック"/>
              <a:ea typeface="ＭＳ Ｐゴシック"/>
            </a:rPr>
            <a:t>(必要経費を差し引いた金額）</a:t>
          </a:r>
        </a:p>
      </xdr:txBody>
    </xdr:sp>
    <xdr:clientData/>
  </xdr:twoCellAnchor>
  <xdr:twoCellAnchor>
    <xdr:from>
      <xdr:col>21</xdr:col>
      <xdr:colOff>38100</xdr:colOff>
      <xdr:row>33</xdr:row>
      <xdr:rowOff>66675</xdr:rowOff>
    </xdr:from>
    <xdr:to>
      <xdr:col>32</xdr:col>
      <xdr:colOff>152400</xdr:colOff>
      <xdr:row>37</xdr:row>
      <xdr:rowOff>28575</xdr:rowOff>
    </xdr:to>
    <xdr:sp macro="" textlink="">
      <xdr:nvSpPr>
        <xdr:cNvPr id="3381" name="AutoShape 13">
          <a:extLst>
            <a:ext uri="{FF2B5EF4-FFF2-40B4-BE49-F238E27FC236}">
              <a16:creationId xmlns:a16="http://schemas.microsoft.com/office/drawing/2014/main" id="{00000000-0008-0000-0000-0000350D0000}"/>
            </a:ext>
          </a:extLst>
        </xdr:cNvPr>
        <xdr:cNvSpPr>
          <a:spLocks noChangeArrowheads="1"/>
        </xdr:cNvSpPr>
      </xdr:nvSpPr>
      <xdr:spPr bwMode="auto">
        <a:xfrm>
          <a:off x="4238625" y="6591300"/>
          <a:ext cx="2314575" cy="733425"/>
        </a:xfrm>
        <a:prstGeom prst="downArrow">
          <a:avLst>
            <a:gd name="adj1" fmla="val 49796"/>
            <a:gd name="adj2" fmla="val 51250"/>
          </a:avLst>
        </a:prstGeom>
        <a:solidFill>
          <a:srgbClr val="8A2E4E"/>
        </a:solidFill>
        <a:ln w="9525">
          <a:solidFill>
            <a:srgbClr val="8A2E4E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79562</xdr:colOff>
      <xdr:row>52</xdr:row>
      <xdr:rowOff>143435</xdr:rowOff>
    </xdr:from>
    <xdr:to>
      <xdr:col>32</xdr:col>
      <xdr:colOff>193862</xdr:colOff>
      <xdr:row>56</xdr:row>
      <xdr:rowOff>106456</xdr:rowOff>
    </xdr:to>
    <xdr:sp macro="" textlink="">
      <xdr:nvSpPr>
        <xdr:cNvPr id="3382" name="AutoShape 14">
          <a:extLst>
            <a:ext uri="{FF2B5EF4-FFF2-40B4-BE49-F238E27FC236}">
              <a16:creationId xmlns:a16="http://schemas.microsoft.com/office/drawing/2014/main" id="{00000000-0008-0000-0000-0000360D0000}"/>
            </a:ext>
          </a:extLst>
        </xdr:cNvPr>
        <xdr:cNvSpPr>
          <a:spLocks noChangeArrowheads="1"/>
        </xdr:cNvSpPr>
      </xdr:nvSpPr>
      <xdr:spPr bwMode="auto">
        <a:xfrm>
          <a:off x="4315386" y="10363200"/>
          <a:ext cx="2333064" cy="635374"/>
        </a:xfrm>
        <a:prstGeom prst="downArrow">
          <a:avLst>
            <a:gd name="adj1" fmla="val 48972"/>
            <a:gd name="adj2" fmla="val 50000"/>
          </a:avLst>
        </a:prstGeom>
        <a:solidFill>
          <a:srgbClr val="8A2E4E"/>
        </a:solidFill>
        <a:ln w="9525">
          <a:solidFill>
            <a:srgbClr val="8A2E4E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56031</xdr:colOff>
      <xdr:row>36</xdr:row>
      <xdr:rowOff>78442</xdr:rowOff>
    </xdr:from>
    <xdr:to>
      <xdr:col>9</xdr:col>
      <xdr:colOff>100854</xdr:colOff>
      <xdr:row>37</xdr:row>
      <xdr:rowOff>100853</xdr:rowOff>
    </xdr:to>
    <xdr:sp macro="" textlink="">
      <xdr:nvSpPr>
        <xdr:cNvPr id="10" name="Rectangle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59443" y="7194177"/>
          <a:ext cx="1456764" cy="268941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tx2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自動で反映されます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pring">
  <a:themeElements>
    <a:clrScheme name="Spring">
      <a:dk1>
        <a:sysClr val="windowText" lastClr="000000"/>
      </a:dk1>
      <a:lt1>
        <a:sysClr val="window" lastClr="FFFFFF"/>
      </a:lt1>
      <a:dk2>
        <a:srgbClr val="66822D"/>
      </a:dk2>
      <a:lt2>
        <a:srgbClr val="BEEA73"/>
      </a:lt2>
      <a:accent1>
        <a:srgbClr val="C1EC76"/>
      </a:accent1>
      <a:accent2>
        <a:srgbClr val="8FE28A"/>
      </a:accent2>
      <a:accent3>
        <a:srgbClr val="F3BF45"/>
      </a:accent3>
      <a:accent4>
        <a:srgbClr val="F47E5A"/>
      </a:accent4>
      <a:accent5>
        <a:srgbClr val="F489CF"/>
      </a:accent5>
      <a:accent6>
        <a:srgbClr val="B56FF4"/>
      </a:accent6>
      <a:hlink>
        <a:srgbClr val="408080"/>
      </a:hlink>
      <a:folHlink>
        <a:srgbClr val="5EAEAE"/>
      </a:folHlink>
    </a:clrScheme>
    <a:fontScheme name="Spring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pring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100000"/>
                <a:shade val="85000"/>
                <a:lumMod val="8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00000"/>
                <a:lumMod val="110000"/>
              </a:schemeClr>
            </a:gs>
            <a:gs pos="100000">
              <a:schemeClr val="phClr">
                <a:shade val="85000"/>
                <a:lumMod val="80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88900" dist="38100" dir="5400000" algn="ctr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5400000"/>
            </a:lightRig>
          </a:scene3d>
          <a:sp3d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100000"/>
                <a:hueMod val="100000"/>
                <a:satMod val="106000"/>
                <a:lumMod val="100000"/>
              </a:schemeClr>
            </a:gs>
            <a:gs pos="88000">
              <a:schemeClr val="phClr">
                <a:tint val="90000"/>
                <a:shade val="68000"/>
                <a:hueMod val="100000"/>
                <a:satMod val="114000"/>
                <a:lumMod val="7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4000"/>
                <a:shade val="100000"/>
                <a:hueMod val="100000"/>
                <a:satMod val="118000"/>
                <a:lumMod val="100000"/>
              </a:schemeClr>
            </a:gs>
            <a:gs pos="100000">
              <a:schemeClr val="phClr">
                <a:tint val="98000"/>
                <a:shade val="68000"/>
                <a:hueMod val="100000"/>
                <a:satMod val="118000"/>
                <a:lumMod val="82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5:BH73"/>
  <sheetViews>
    <sheetView showGridLines="0" tabSelected="1" zoomScale="90" zoomScaleNormal="90" workbookViewId="0">
      <selection activeCell="AH29" sqref="AH29:AN29"/>
    </sheetView>
  </sheetViews>
  <sheetFormatPr defaultRowHeight="13.2" x14ac:dyDescent="0.2"/>
  <cols>
    <col min="1" max="7" width="2.6640625" customWidth="1"/>
    <col min="8" max="8" width="3.33203125" customWidth="1"/>
    <col min="9" max="24" width="2.6640625" customWidth="1"/>
    <col min="25" max="25" width="3.33203125" customWidth="1"/>
    <col min="26" max="26" width="2.6640625" customWidth="1"/>
    <col min="27" max="29" width="3" customWidth="1"/>
    <col min="30" max="41" width="2.6640625" customWidth="1"/>
    <col min="42" max="42" width="3.77734375" customWidth="1"/>
    <col min="43" max="46" width="2.6640625" customWidth="1"/>
    <col min="47" max="47" width="3.44140625" customWidth="1"/>
    <col min="48" max="53" width="2.6640625" customWidth="1"/>
    <col min="54" max="54" width="6.33203125" customWidth="1"/>
    <col min="55" max="156" width="2.6640625" customWidth="1"/>
  </cols>
  <sheetData>
    <row r="25" spans="3:60" ht="13.8" thickBot="1" x14ac:dyDescent="0.25">
      <c r="AW25" s="12"/>
      <c r="AX25" s="12"/>
      <c r="AY25" s="12"/>
      <c r="AZ25" s="12"/>
      <c r="BA25" s="12"/>
      <c r="BB25" s="12"/>
    </row>
    <row r="26" spans="3:60" ht="13.5" customHeight="1" thickTop="1" x14ac:dyDescent="0.2">
      <c r="C26" s="190"/>
      <c r="D26" s="191"/>
      <c r="E26" s="191"/>
      <c r="F26" s="192"/>
      <c r="G26" s="169" t="s">
        <v>63</v>
      </c>
      <c r="H26" s="170"/>
      <c r="I26" s="170"/>
      <c r="J26" s="171"/>
      <c r="K26" s="169" t="s">
        <v>64</v>
      </c>
      <c r="L26" s="170"/>
      <c r="M26" s="171"/>
      <c r="N26" s="169" t="s">
        <v>65</v>
      </c>
      <c r="O26" s="170"/>
      <c r="P26" s="171"/>
      <c r="Q26" s="169" t="s">
        <v>66</v>
      </c>
      <c r="R26" s="170"/>
      <c r="S26" s="171"/>
      <c r="T26" s="175" t="s">
        <v>94</v>
      </c>
      <c r="U26" s="170"/>
      <c r="V26" s="170"/>
      <c r="W26" s="170"/>
      <c r="X26" s="170"/>
      <c r="Y26" s="170"/>
      <c r="Z26" s="170"/>
      <c r="AA26" s="169" t="s">
        <v>2</v>
      </c>
      <c r="AB26" s="170"/>
      <c r="AC26" s="170"/>
      <c r="AD26" s="170"/>
      <c r="AE26" s="170"/>
      <c r="AF26" s="170"/>
      <c r="AG26" s="171"/>
      <c r="AH26" s="169" t="s">
        <v>82</v>
      </c>
      <c r="AI26" s="170"/>
      <c r="AJ26" s="170"/>
      <c r="AK26" s="170"/>
      <c r="AL26" s="170"/>
      <c r="AM26" s="170"/>
      <c r="AN26" s="197"/>
      <c r="AO26" s="238" t="s">
        <v>95</v>
      </c>
      <c r="AP26" s="239"/>
      <c r="AQ26" s="239"/>
      <c r="AR26" s="239"/>
      <c r="AS26" s="239"/>
      <c r="AT26" s="239"/>
      <c r="AU26" s="240"/>
      <c r="AV26" s="214" t="s">
        <v>96</v>
      </c>
      <c r="AW26" s="215"/>
      <c r="AX26" s="215"/>
      <c r="AY26" s="215"/>
      <c r="AZ26" s="215"/>
      <c r="BA26" s="215"/>
      <c r="BB26" s="216"/>
      <c r="BC26" s="81"/>
      <c r="BD26" s="12"/>
      <c r="BE26" s="22"/>
    </row>
    <row r="27" spans="3:60" ht="24.75" customHeight="1" x14ac:dyDescent="0.2">
      <c r="C27" s="193"/>
      <c r="D27" s="194"/>
      <c r="E27" s="194"/>
      <c r="F27" s="195"/>
      <c r="G27" s="172"/>
      <c r="H27" s="173"/>
      <c r="I27" s="173"/>
      <c r="J27" s="174"/>
      <c r="K27" s="172"/>
      <c r="L27" s="173"/>
      <c r="M27" s="174"/>
      <c r="N27" s="172"/>
      <c r="O27" s="173"/>
      <c r="P27" s="174"/>
      <c r="Q27" s="172"/>
      <c r="R27" s="173"/>
      <c r="S27" s="174"/>
      <c r="T27" s="176"/>
      <c r="U27" s="177"/>
      <c r="V27" s="177"/>
      <c r="W27" s="177"/>
      <c r="X27" s="177"/>
      <c r="Y27" s="177"/>
      <c r="Z27" s="177"/>
      <c r="AA27" s="176"/>
      <c r="AB27" s="177"/>
      <c r="AC27" s="177"/>
      <c r="AD27" s="177"/>
      <c r="AE27" s="177"/>
      <c r="AF27" s="177"/>
      <c r="AG27" s="196"/>
      <c r="AH27" s="172"/>
      <c r="AI27" s="173"/>
      <c r="AJ27" s="173"/>
      <c r="AK27" s="173"/>
      <c r="AL27" s="173"/>
      <c r="AM27" s="173"/>
      <c r="AN27" s="198"/>
      <c r="AO27" s="241"/>
      <c r="AP27" s="242"/>
      <c r="AQ27" s="242"/>
      <c r="AR27" s="242"/>
      <c r="AS27" s="242"/>
      <c r="AT27" s="242"/>
      <c r="AU27" s="243"/>
      <c r="AV27" s="217" t="str">
        <f>("（総所得金額等－"&amp;算出計算!K2/10000&amp;"万円）")</f>
        <v>（総所得金額等－43万円）</v>
      </c>
      <c r="AW27" s="218"/>
      <c r="AX27" s="218"/>
      <c r="AY27" s="218"/>
      <c r="AZ27" s="218"/>
      <c r="BA27" s="218"/>
      <c r="BB27" s="219"/>
      <c r="BC27" s="81"/>
      <c r="BD27" s="113"/>
      <c r="BE27" s="22"/>
      <c r="BF27" s="114"/>
      <c r="BG27" s="114"/>
      <c r="BH27" s="114"/>
    </row>
    <row r="28" spans="3:60" ht="27" customHeight="1" x14ac:dyDescent="0.2">
      <c r="C28" s="134" t="s">
        <v>4</v>
      </c>
      <c r="D28" s="135"/>
      <c r="E28" s="135"/>
      <c r="F28" s="136"/>
      <c r="G28" s="137"/>
      <c r="H28" s="138"/>
      <c r="I28" s="138"/>
      <c r="J28" s="139"/>
      <c r="K28" s="137"/>
      <c r="L28" s="138"/>
      <c r="M28" s="139"/>
      <c r="N28" s="137"/>
      <c r="O28" s="138"/>
      <c r="P28" s="139"/>
      <c r="Q28" s="137"/>
      <c r="R28" s="138"/>
      <c r="S28" s="139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211"/>
      <c r="AI28" s="212"/>
      <c r="AJ28" s="212"/>
      <c r="AK28" s="212"/>
      <c r="AL28" s="212"/>
      <c r="AM28" s="212"/>
      <c r="AN28" s="213"/>
      <c r="AO28" s="220" t="str">
        <f>IF(AND(入力シート!G28&lt;&gt;0,入力シート!K28&lt;&gt;0,入力シート!N28&lt;&gt;0,入力シート!Q28&lt;&gt;0),算出計算!F7,"")</f>
        <v/>
      </c>
      <c r="AP28" s="221"/>
      <c r="AQ28" s="221"/>
      <c r="AR28" s="221"/>
      <c r="AS28" s="221"/>
      <c r="AT28" s="221"/>
      <c r="AU28" s="222"/>
      <c r="AV28" s="221" t="str">
        <f>IF(AND(入力シート!G28&lt;&gt;0,入力シート!K28&lt;&gt;0,入力シート!N28&lt;&gt;0,入力シート!Q28&lt;&gt;0),算出計算!L7,"")</f>
        <v/>
      </c>
      <c r="AW28" s="221"/>
      <c r="AX28" s="221"/>
      <c r="AY28" s="221"/>
      <c r="AZ28" s="221"/>
      <c r="BA28" s="221"/>
      <c r="BB28" s="246"/>
      <c r="BC28" s="82"/>
      <c r="BD28" s="113"/>
      <c r="BE28" s="22" t="s">
        <v>67</v>
      </c>
      <c r="BF28" s="114"/>
      <c r="BG28" s="114"/>
      <c r="BH28" s="114"/>
    </row>
    <row r="29" spans="3:60" ht="27" customHeight="1" x14ac:dyDescent="0.2">
      <c r="C29" s="134" t="s">
        <v>5</v>
      </c>
      <c r="D29" s="135"/>
      <c r="E29" s="135"/>
      <c r="F29" s="136"/>
      <c r="G29" s="144"/>
      <c r="H29" s="145"/>
      <c r="I29" s="145"/>
      <c r="J29" s="146"/>
      <c r="K29" s="137"/>
      <c r="L29" s="138"/>
      <c r="M29" s="139"/>
      <c r="N29" s="137"/>
      <c r="O29" s="138"/>
      <c r="P29" s="139"/>
      <c r="Q29" s="137"/>
      <c r="R29" s="138"/>
      <c r="S29" s="139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211"/>
      <c r="AI29" s="212"/>
      <c r="AJ29" s="212"/>
      <c r="AK29" s="212"/>
      <c r="AL29" s="212"/>
      <c r="AM29" s="212"/>
      <c r="AN29" s="213"/>
      <c r="AO29" s="220" t="str">
        <f>IF(AND(入力シート!G29&lt;&gt;0,入力シート!K29&lt;&gt;0,入力シート!N29&lt;&gt;0,入力シート!Q29&lt;&gt;0),算出計算!F8,"")</f>
        <v/>
      </c>
      <c r="AP29" s="221" t="str">
        <f>IF(AND(入力シート!G29&lt;&gt;0,入力シート!K29&lt;&gt;0,入力シート!N29,入力シート!Q29&lt;&gt;0),算出計算!F8,"")</f>
        <v/>
      </c>
      <c r="AQ29" s="221"/>
      <c r="AR29" s="221"/>
      <c r="AS29" s="221"/>
      <c r="AT29" s="221"/>
      <c r="AU29" s="222"/>
      <c r="AV29" s="247" t="str">
        <f>IF(AND(入力シート!G29&lt;&gt;0,入力シート!K29&lt;&gt;0,入力シート!N29&lt;&gt;0,入力シート!Q29&lt;&gt;0),算出計算!L8,"")</f>
        <v/>
      </c>
      <c r="AW29" s="221"/>
      <c r="AX29" s="221"/>
      <c r="AY29" s="221"/>
      <c r="AZ29" s="221"/>
      <c r="BA29" s="221"/>
      <c r="BB29" s="246"/>
      <c r="BC29" s="82"/>
      <c r="BD29" s="113"/>
      <c r="BE29" s="22" t="s">
        <v>68</v>
      </c>
      <c r="BF29" s="114"/>
      <c r="BG29" s="114"/>
      <c r="BH29" s="114"/>
    </row>
    <row r="30" spans="3:60" ht="27" customHeight="1" x14ac:dyDescent="0.2">
      <c r="C30" s="134" t="s">
        <v>6</v>
      </c>
      <c r="D30" s="135"/>
      <c r="E30" s="135"/>
      <c r="F30" s="136"/>
      <c r="G30" s="144"/>
      <c r="H30" s="145"/>
      <c r="I30" s="145"/>
      <c r="J30" s="146"/>
      <c r="K30" s="137"/>
      <c r="L30" s="138"/>
      <c r="M30" s="139"/>
      <c r="N30" s="137"/>
      <c r="O30" s="138"/>
      <c r="P30" s="139"/>
      <c r="Q30" s="137"/>
      <c r="R30" s="138"/>
      <c r="S30" s="139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211"/>
      <c r="AI30" s="212"/>
      <c r="AJ30" s="212"/>
      <c r="AK30" s="212"/>
      <c r="AL30" s="212"/>
      <c r="AM30" s="212"/>
      <c r="AN30" s="213"/>
      <c r="AO30" s="220" t="str">
        <f>IF(AND(入力シート!G30&lt;&gt;0,入力シート!K30&lt;&gt;0,入力シート!N30&lt;&gt;0,入力シート!Q30&lt;&gt;0),算出計算!F9,"")</f>
        <v/>
      </c>
      <c r="AP30" s="221"/>
      <c r="AQ30" s="221"/>
      <c r="AR30" s="221"/>
      <c r="AS30" s="221"/>
      <c r="AT30" s="221"/>
      <c r="AU30" s="222"/>
      <c r="AV30" s="247" t="str">
        <f>IF(AND(入力シート!G30&lt;&gt;0,入力シート!K30&lt;&gt;0,入力シート!N30&lt;&gt;0,入力シート!Q30&lt;&gt;0),算出計算!L9,"")</f>
        <v/>
      </c>
      <c r="AW30" s="221"/>
      <c r="AX30" s="221"/>
      <c r="AY30" s="221"/>
      <c r="AZ30" s="221"/>
      <c r="BA30" s="221"/>
      <c r="BB30" s="246"/>
      <c r="BC30" s="82"/>
      <c r="BD30" s="113"/>
      <c r="BE30" s="117" t="s">
        <v>93</v>
      </c>
      <c r="BF30" s="114"/>
      <c r="BG30" s="114"/>
      <c r="BH30" s="114"/>
    </row>
    <row r="31" spans="3:60" ht="27" customHeight="1" x14ac:dyDescent="0.2">
      <c r="C31" s="134" t="s">
        <v>7</v>
      </c>
      <c r="D31" s="135"/>
      <c r="E31" s="135"/>
      <c r="F31" s="136"/>
      <c r="G31" s="137"/>
      <c r="H31" s="138"/>
      <c r="I31" s="138"/>
      <c r="J31" s="139"/>
      <c r="K31" s="137"/>
      <c r="L31" s="138"/>
      <c r="M31" s="139"/>
      <c r="N31" s="137"/>
      <c r="O31" s="138"/>
      <c r="P31" s="139"/>
      <c r="Q31" s="137"/>
      <c r="R31" s="138"/>
      <c r="S31" s="139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211"/>
      <c r="AI31" s="212"/>
      <c r="AJ31" s="212"/>
      <c r="AK31" s="212"/>
      <c r="AL31" s="212"/>
      <c r="AM31" s="212"/>
      <c r="AN31" s="213"/>
      <c r="AO31" s="220" t="str">
        <f>IF(AND(入力シート!G31&lt;&gt;0,入力シート!K31&lt;&gt;0,入力シート!N31&lt;&gt;0,入力シート!Q31&lt;&gt;0),算出計算!F10,"")</f>
        <v/>
      </c>
      <c r="AP31" s="221" t="str">
        <f>IF(AND(入力シート!G31&lt;&gt;0,入力シート!K31&lt;&gt;0,入力シート!N31,入力シート!Q31&lt;&gt;0),算出計算!F12,"")</f>
        <v/>
      </c>
      <c r="AQ31" s="221"/>
      <c r="AR31" s="221"/>
      <c r="AS31" s="221"/>
      <c r="AT31" s="221"/>
      <c r="AU31" s="222"/>
      <c r="AV31" s="247" t="str">
        <f>IF(AND(入力シート!G31&lt;&gt;0,入力シート!K31&lt;&gt;0,入力シート!N31&lt;&gt;0,入力シート!Q31&lt;&gt;0),算出計算!L10,"")</f>
        <v/>
      </c>
      <c r="AW31" s="221"/>
      <c r="AX31" s="221"/>
      <c r="AY31" s="221"/>
      <c r="AZ31" s="221"/>
      <c r="BA31" s="221"/>
      <c r="BB31" s="246"/>
      <c r="BC31" s="82"/>
      <c r="BD31" s="113"/>
      <c r="BE31" s="114"/>
      <c r="BF31" s="114"/>
      <c r="BG31" s="114"/>
      <c r="BH31" s="114"/>
    </row>
    <row r="32" spans="3:60" ht="27" customHeight="1" thickBot="1" x14ac:dyDescent="0.25">
      <c r="C32" s="134" t="s">
        <v>8</v>
      </c>
      <c r="D32" s="135"/>
      <c r="E32" s="135"/>
      <c r="F32" s="136"/>
      <c r="G32" s="137"/>
      <c r="H32" s="138"/>
      <c r="I32" s="138"/>
      <c r="J32" s="139"/>
      <c r="K32" s="137"/>
      <c r="L32" s="138"/>
      <c r="M32" s="139"/>
      <c r="N32" s="137"/>
      <c r="O32" s="138"/>
      <c r="P32" s="139"/>
      <c r="Q32" s="137"/>
      <c r="R32" s="138"/>
      <c r="S32" s="139"/>
      <c r="T32" s="140"/>
      <c r="U32" s="140"/>
      <c r="V32" s="140"/>
      <c r="W32" s="140"/>
      <c r="X32" s="140"/>
      <c r="Y32" s="140"/>
      <c r="Z32" s="140"/>
      <c r="AA32" s="209"/>
      <c r="AB32" s="209"/>
      <c r="AC32" s="209"/>
      <c r="AD32" s="209"/>
      <c r="AE32" s="209"/>
      <c r="AF32" s="209"/>
      <c r="AG32" s="209"/>
      <c r="AH32" s="211"/>
      <c r="AI32" s="212"/>
      <c r="AJ32" s="212"/>
      <c r="AK32" s="212"/>
      <c r="AL32" s="212"/>
      <c r="AM32" s="212"/>
      <c r="AN32" s="213"/>
      <c r="AO32" s="244" t="str">
        <f>IF(AND(入力シート!G32&lt;&gt;0,入力シート!K32&lt;&gt;0,入力シート!N32&lt;&gt;0,入力シート!Q32&lt;&gt;0),算出計算!F11,"")</f>
        <v/>
      </c>
      <c r="AP32" s="236"/>
      <c r="AQ32" s="236"/>
      <c r="AR32" s="236"/>
      <c r="AS32" s="236"/>
      <c r="AT32" s="236"/>
      <c r="AU32" s="245"/>
      <c r="AV32" s="235" t="str">
        <f>IF(AND(入力シート!G32&lt;&gt;0,入力シート!K32&lt;&gt;0,入力シート!N32&lt;&gt;0,入力シート!Q32&lt;&gt;0),算出計算!L11,"")</f>
        <v/>
      </c>
      <c r="AW32" s="236"/>
      <c r="AX32" s="236"/>
      <c r="AY32" s="236"/>
      <c r="AZ32" s="236"/>
      <c r="BA32" s="236"/>
      <c r="BB32" s="237"/>
      <c r="BC32" s="82"/>
      <c r="BD32" s="12"/>
    </row>
    <row r="33" spans="2:57" ht="13.5" customHeight="1" x14ac:dyDescent="0.2"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02"/>
      <c r="AK33" s="102"/>
      <c r="AL33" s="102"/>
      <c r="AM33" s="102"/>
      <c r="AN33" s="106"/>
      <c r="AO33" s="199" t="s">
        <v>97</v>
      </c>
      <c r="AP33" s="200"/>
      <c r="AQ33" s="200"/>
      <c r="AR33" s="200"/>
      <c r="AS33" s="200"/>
      <c r="AT33" s="200"/>
      <c r="AU33" s="200"/>
      <c r="AV33" s="205">
        <f>算出計算!L12</f>
        <v>0</v>
      </c>
      <c r="AW33" s="205"/>
      <c r="AX33" s="205"/>
      <c r="AY33" s="205"/>
      <c r="AZ33" s="205"/>
      <c r="BA33" s="205"/>
      <c r="BB33" s="206"/>
    </row>
    <row r="34" spans="2:57" ht="14.25" customHeight="1" x14ac:dyDescent="0.2">
      <c r="AJ34" s="103"/>
      <c r="AK34" s="103"/>
      <c r="AL34" s="103"/>
      <c r="AM34" s="103"/>
      <c r="AN34" s="103"/>
      <c r="AO34" s="201"/>
      <c r="AP34" s="202"/>
      <c r="AQ34" s="202"/>
      <c r="AR34" s="202"/>
      <c r="AS34" s="202"/>
      <c r="AT34" s="202"/>
      <c r="AU34" s="202"/>
      <c r="AV34" s="207"/>
      <c r="AW34" s="207"/>
      <c r="AX34" s="207"/>
      <c r="AY34" s="207"/>
      <c r="AZ34" s="207"/>
      <c r="BA34" s="207"/>
      <c r="BB34" s="208"/>
    </row>
    <row r="35" spans="2:57" ht="13.5" customHeight="1" x14ac:dyDescent="0.2">
      <c r="AJ35" s="104"/>
      <c r="AK35" s="104"/>
      <c r="AL35" s="104"/>
      <c r="AM35" s="105"/>
      <c r="AN35" s="104"/>
      <c r="AO35" s="225" t="s">
        <v>98</v>
      </c>
      <c r="AP35" s="226"/>
      <c r="AQ35" s="226"/>
      <c r="AR35" s="226"/>
      <c r="AS35" s="226"/>
      <c r="AT35" s="226"/>
      <c r="AU35" s="226"/>
      <c r="AV35" s="205">
        <f>算出計算!N12</f>
        <v>0</v>
      </c>
      <c r="AW35" s="205"/>
      <c r="AX35" s="205"/>
      <c r="AY35" s="205"/>
      <c r="AZ35" s="205"/>
      <c r="BA35" s="205"/>
      <c r="BB35" s="206"/>
    </row>
    <row r="36" spans="2:57" ht="13.5" customHeight="1" thickBot="1" x14ac:dyDescent="0.25">
      <c r="AJ36" s="104"/>
      <c r="AK36" s="104"/>
      <c r="AL36" s="104"/>
      <c r="AM36" s="104"/>
      <c r="AN36" s="104"/>
      <c r="AO36" s="227"/>
      <c r="AP36" s="228"/>
      <c r="AQ36" s="228"/>
      <c r="AR36" s="228"/>
      <c r="AS36" s="228"/>
      <c r="AT36" s="228"/>
      <c r="AU36" s="228"/>
      <c r="AV36" s="223"/>
      <c r="AW36" s="223"/>
      <c r="AX36" s="223"/>
      <c r="AY36" s="223"/>
      <c r="AZ36" s="223"/>
      <c r="BA36" s="223"/>
      <c r="BB36" s="224"/>
      <c r="BE36" s="12"/>
    </row>
    <row r="37" spans="2:57" ht="19.8" thickTop="1" x14ac:dyDescent="0.2">
      <c r="AL37" s="76"/>
      <c r="AM37" s="76"/>
      <c r="AN37" s="76"/>
      <c r="AO37" s="76"/>
      <c r="AP37" s="76"/>
      <c r="AQ37" s="76"/>
      <c r="AR37" s="76"/>
      <c r="AS37" s="77"/>
      <c r="AT37" s="77"/>
      <c r="AU37" s="77"/>
      <c r="AV37" s="77"/>
      <c r="AW37" s="77"/>
      <c r="AX37" s="77"/>
      <c r="AY37" s="77"/>
      <c r="AZ37" s="77"/>
    </row>
    <row r="38" spans="2:57" ht="13.8" thickBot="1" x14ac:dyDescent="0.25">
      <c r="B38" s="12"/>
    </row>
    <row r="39" spans="2:57" ht="11.25" customHeight="1" x14ac:dyDescent="0.2">
      <c r="C39" s="178" t="s">
        <v>80</v>
      </c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80"/>
      <c r="T39" s="184" t="s">
        <v>69</v>
      </c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6"/>
      <c r="AK39" s="229" t="s">
        <v>86</v>
      </c>
      <c r="AL39" s="230"/>
      <c r="AM39" s="230"/>
      <c r="AN39" s="230"/>
      <c r="AO39" s="230"/>
      <c r="AP39" s="230"/>
      <c r="AQ39" s="230"/>
      <c r="AR39" s="230"/>
      <c r="AS39" s="230"/>
      <c r="AT39" s="230"/>
      <c r="AU39" s="230"/>
      <c r="AV39" s="230"/>
      <c r="AW39" s="230"/>
      <c r="AX39" s="230"/>
      <c r="AY39" s="230"/>
      <c r="AZ39" s="231"/>
    </row>
    <row r="40" spans="2:57" ht="11.25" customHeight="1" x14ac:dyDescent="0.2">
      <c r="C40" s="181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3"/>
      <c r="T40" s="187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9"/>
      <c r="AK40" s="232"/>
      <c r="AL40" s="233"/>
      <c r="AM40" s="233"/>
      <c r="AN40" s="233"/>
      <c r="AO40" s="233"/>
      <c r="AP40" s="233"/>
      <c r="AQ40" s="233"/>
      <c r="AR40" s="233"/>
      <c r="AS40" s="233"/>
      <c r="AT40" s="233"/>
      <c r="AU40" s="233"/>
      <c r="AV40" s="233"/>
      <c r="AW40" s="233"/>
      <c r="AX40" s="233"/>
      <c r="AY40" s="233"/>
      <c r="AZ40" s="234"/>
    </row>
    <row r="41" spans="2:57" s="107" customFormat="1" ht="19.5" customHeight="1" x14ac:dyDescent="0.2">
      <c r="C41" s="108" t="s">
        <v>74</v>
      </c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10"/>
      <c r="T41" s="108" t="s">
        <v>74</v>
      </c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10"/>
      <c r="AK41" s="108" t="s">
        <v>74</v>
      </c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10"/>
    </row>
    <row r="42" spans="2:57" s="68" customFormat="1" ht="13.5" customHeight="1" x14ac:dyDescent="0.15">
      <c r="C42" s="126" t="s">
        <v>97</v>
      </c>
      <c r="D42" s="120"/>
      <c r="E42" s="120"/>
      <c r="F42" s="120"/>
      <c r="G42" s="120"/>
      <c r="H42" s="120"/>
      <c r="I42" s="84"/>
      <c r="J42" s="120" t="s">
        <v>99</v>
      </c>
      <c r="K42" s="120"/>
      <c r="L42" s="120"/>
      <c r="M42" s="84"/>
      <c r="N42" s="84"/>
      <c r="O42" s="83"/>
      <c r="P42" s="84"/>
      <c r="Q42" s="84"/>
      <c r="R42" s="85"/>
      <c r="T42" s="126" t="s">
        <v>97</v>
      </c>
      <c r="U42" s="120"/>
      <c r="V42" s="120"/>
      <c r="W42" s="120"/>
      <c r="X42" s="120"/>
      <c r="Y42" s="120"/>
      <c r="Z42" s="84"/>
      <c r="AA42" s="120" t="s">
        <v>99</v>
      </c>
      <c r="AB42" s="120"/>
      <c r="AC42" s="120"/>
      <c r="AD42" s="84"/>
      <c r="AE42" s="84"/>
      <c r="AF42" s="83"/>
      <c r="AG42" s="84"/>
      <c r="AH42" s="84"/>
      <c r="AI42" s="85"/>
      <c r="AK42" s="126" t="s">
        <v>97</v>
      </c>
      <c r="AL42" s="120"/>
      <c r="AM42" s="120"/>
      <c r="AN42" s="120"/>
      <c r="AO42" s="120"/>
      <c r="AP42" s="120"/>
      <c r="AQ42" s="84"/>
      <c r="AR42" s="120" t="s">
        <v>99</v>
      </c>
      <c r="AS42" s="120"/>
      <c r="AT42" s="120"/>
      <c r="AU42" s="84"/>
      <c r="AV42" s="84"/>
      <c r="AW42" s="83"/>
      <c r="AX42" s="84"/>
      <c r="AY42" s="84"/>
      <c r="AZ42" s="85"/>
    </row>
    <row r="43" spans="2:57" s="67" customFormat="1" ht="17.25" customHeight="1" x14ac:dyDescent="0.2">
      <c r="B43" s="71"/>
      <c r="C43" s="122">
        <f>算出計算!B15</f>
        <v>0</v>
      </c>
      <c r="D43" s="123"/>
      <c r="E43" s="123"/>
      <c r="F43" s="123"/>
      <c r="G43" s="123"/>
      <c r="H43" s="123"/>
      <c r="I43" s="90" t="s">
        <v>83</v>
      </c>
      <c r="J43" s="124">
        <f>算出計算!G2</f>
        <v>8.1500000000000003E-2</v>
      </c>
      <c r="K43" s="124"/>
      <c r="L43" s="124"/>
      <c r="M43" s="91" t="s">
        <v>89</v>
      </c>
      <c r="N43" s="148">
        <f>算出計算!C15</f>
        <v>0</v>
      </c>
      <c r="O43" s="148"/>
      <c r="P43" s="148"/>
      <c r="Q43" s="148"/>
      <c r="R43" s="149"/>
      <c r="S43" s="93"/>
      <c r="T43" s="122">
        <f>算出計算!B16</f>
        <v>0</v>
      </c>
      <c r="U43" s="123"/>
      <c r="V43" s="123"/>
      <c r="W43" s="123"/>
      <c r="X43" s="123"/>
      <c r="Y43" s="123"/>
      <c r="Z43" s="90" t="s">
        <v>83</v>
      </c>
      <c r="AA43" s="210">
        <f>算出計算!G3</f>
        <v>2.9499999999999998E-2</v>
      </c>
      <c r="AB43" s="210"/>
      <c r="AC43" s="210"/>
      <c r="AD43" s="91" t="s">
        <v>89</v>
      </c>
      <c r="AE43" s="148">
        <f>算出計算!C16</f>
        <v>0</v>
      </c>
      <c r="AF43" s="148"/>
      <c r="AG43" s="148"/>
      <c r="AH43" s="148"/>
      <c r="AI43" s="149"/>
      <c r="AK43" s="122">
        <f>算出計算!B17</f>
        <v>0</v>
      </c>
      <c r="AL43" s="123"/>
      <c r="AM43" s="123"/>
      <c r="AN43" s="123"/>
      <c r="AO43" s="123"/>
      <c r="AP43" s="123"/>
      <c r="AQ43" s="90" t="s">
        <v>83</v>
      </c>
      <c r="AR43" s="152">
        <f>算出計算!G4</f>
        <v>2.5999999999999999E-2</v>
      </c>
      <c r="AS43" s="152"/>
      <c r="AT43" s="152"/>
      <c r="AU43" s="91" t="s">
        <v>89</v>
      </c>
      <c r="AV43" s="148">
        <f>算出計算!C17</f>
        <v>0</v>
      </c>
      <c r="AW43" s="148"/>
      <c r="AX43" s="148"/>
      <c r="AY43" s="148"/>
      <c r="AZ43" s="149"/>
    </row>
    <row r="44" spans="2:57" s="107" customFormat="1" ht="19.5" customHeight="1" x14ac:dyDescent="0.2">
      <c r="C44" s="108" t="s">
        <v>75</v>
      </c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10"/>
      <c r="T44" s="108" t="s">
        <v>75</v>
      </c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10"/>
      <c r="AK44" s="108" t="s">
        <v>75</v>
      </c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10"/>
    </row>
    <row r="45" spans="2:57" ht="12" customHeight="1" x14ac:dyDescent="0.15">
      <c r="C45" s="86"/>
      <c r="D45" s="84"/>
      <c r="E45" s="120" t="s">
        <v>90</v>
      </c>
      <c r="F45" s="120"/>
      <c r="G45" s="120"/>
      <c r="H45" s="120"/>
      <c r="J45" s="120" t="s">
        <v>81</v>
      </c>
      <c r="K45" s="120"/>
      <c r="L45" s="120"/>
      <c r="M45" s="84"/>
      <c r="N45" s="84"/>
      <c r="O45" s="84"/>
      <c r="P45" s="84"/>
      <c r="Q45" s="84"/>
      <c r="R45" s="85"/>
      <c r="T45" s="86"/>
      <c r="U45" s="84"/>
      <c r="V45" s="120" t="s">
        <v>90</v>
      </c>
      <c r="W45" s="120"/>
      <c r="X45" s="120"/>
      <c r="Y45" s="120"/>
      <c r="AA45" s="120" t="s">
        <v>81</v>
      </c>
      <c r="AB45" s="120"/>
      <c r="AC45" s="120"/>
      <c r="AD45" s="84"/>
      <c r="AE45" s="84"/>
      <c r="AF45" s="84"/>
      <c r="AG45" s="84"/>
      <c r="AH45" s="84"/>
      <c r="AI45" s="85"/>
      <c r="AK45" s="86"/>
      <c r="AL45" s="84"/>
      <c r="AM45" s="120" t="s">
        <v>90</v>
      </c>
      <c r="AN45" s="120"/>
      <c r="AO45" s="120"/>
      <c r="AP45" s="120"/>
      <c r="AR45" s="120" t="s">
        <v>81</v>
      </c>
      <c r="AS45" s="120"/>
      <c r="AT45" s="120"/>
      <c r="AU45" s="84"/>
      <c r="AV45" s="84"/>
      <c r="AW45" s="84"/>
      <c r="AX45" s="84"/>
      <c r="AY45" s="84"/>
      <c r="AZ45" s="85"/>
    </row>
    <row r="46" spans="2:57" ht="16.2" x14ac:dyDescent="0.2">
      <c r="C46" s="94"/>
      <c r="D46" s="95"/>
      <c r="E46" s="125">
        <f>算出計算!H2</f>
        <v>28320</v>
      </c>
      <c r="F46" s="125"/>
      <c r="G46" s="125"/>
      <c r="H46" s="125"/>
      <c r="I46" s="79" t="s">
        <v>83</v>
      </c>
      <c r="J46" s="121" t="str">
        <f>(算出計算!C12&amp;"人")</f>
        <v>0人</v>
      </c>
      <c r="K46" s="121"/>
      <c r="L46" s="121"/>
      <c r="M46" s="92" t="s">
        <v>89</v>
      </c>
      <c r="N46" s="203">
        <f>算出計算!D15</f>
        <v>0</v>
      </c>
      <c r="O46" s="203"/>
      <c r="P46" s="203"/>
      <c r="Q46" s="203"/>
      <c r="R46" s="204"/>
      <c r="T46" s="94"/>
      <c r="U46" s="95"/>
      <c r="V46" s="125">
        <f>算出計算!H3</f>
        <v>10320</v>
      </c>
      <c r="W46" s="125"/>
      <c r="X46" s="125"/>
      <c r="Y46" s="125"/>
      <c r="Z46" s="79" t="s">
        <v>83</v>
      </c>
      <c r="AA46" s="121" t="str">
        <f>(算出計算!D12&amp;"人")</f>
        <v>0人</v>
      </c>
      <c r="AB46" s="121"/>
      <c r="AC46" s="121"/>
      <c r="AD46" s="92" t="s">
        <v>89</v>
      </c>
      <c r="AE46" s="203">
        <f>算出計算!D16</f>
        <v>0</v>
      </c>
      <c r="AF46" s="203"/>
      <c r="AG46" s="203"/>
      <c r="AH46" s="203"/>
      <c r="AI46" s="204"/>
      <c r="AK46" s="94"/>
      <c r="AL46" s="95"/>
      <c r="AM46" s="125">
        <f>算出計算!H4</f>
        <v>10920</v>
      </c>
      <c r="AN46" s="125"/>
      <c r="AO46" s="125"/>
      <c r="AP46" s="125"/>
      <c r="AQ46" s="79" t="s">
        <v>83</v>
      </c>
      <c r="AR46" s="121" t="str">
        <f>(算出計算!E12&amp;"人")</f>
        <v>0人</v>
      </c>
      <c r="AS46" s="121"/>
      <c r="AT46" s="121"/>
      <c r="AU46" s="92" t="s">
        <v>89</v>
      </c>
      <c r="AV46" s="203">
        <f>算出計算!D17</f>
        <v>0</v>
      </c>
      <c r="AW46" s="203"/>
      <c r="AX46" s="203"/>
      <c r="AY46" s="203"/>
      <c r="AZ46" s="204"/>
    </row>
    <row r="47" spans="2:57" s="111" customFormat="1" ht="18" customHeight="1" x14ac:dyDescent="0.2">
      <c r="C47" s="108" t="s">
        <v>76</v>
      </c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10"/>
      <c r="T47" s="108" t="s">
        <v>76</v>
      </c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10"/>
      <c r="AK47" s="108" t="s">
        <v>76</v>
      </c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10"/>
    </row>
    <row r="48" spans="2:57" s="67" customFormat="1" ht="10.5" customHeight="1" x14ac:dyDescent="0.2">
      <c r="C48" s="87"/>
      <c r="D48" s="65"/>
      <c r="F48" s="120" t="s">
        <v>84</v>
      </c>
      <c r="G48" s="120"/>
      <c r="H48" s="120"/>
      <c r="I48" s="120"/>
      <c r="J48" s="120"/>
      <c r="K48" s="120"/>
      <c r="L48" s="84"/>
      <c r="M48" s="84"/>
      <c r="N48" s="65"/>
      <c r="O48" s="65"/>
      <c r="P48" s="65"/>
      <c r="Q48" s="65"/>
      <c r="R48" s="88"/>
      <c r="S48" s="78"/>
      <c r="T48" s="87"/>
      <c r="U48" s="65"/>
      <c r="W48" s="120" t="s">
        <v>84</v>
      </c>
      <c r="X48" s="120"/>
      <c r="Y48" s="120"/>
      <c r="Z48" s="120"/>
      <c r="AA48" s="120"/>
      <c r="AB48" s="120"/>
      <c r="AC48" s="84"/>
      <c r="AD48" s="84"/>
      <c r="AE48" s="65"/>
      <c r="AF48" s="65"/>
      <c r="AG48" s="65"/>
      <c r="AH48" s="65"/>
      <c r="AI48" s="88"/>
      <c r="AK48" s="87"/>
      <c r="AL48" s="65"/>
      <c r="AN48" s="120" t="s">
        <v>84</v>
      </c>
      <c r="AO48" s="120"/>
      <c r="AP48" s="120"/>
      <c r="AQ48" s="120"/>
      <c r="AR48" s="120"/>
      <c r="AS48" s="120"/>
      <c r="AT48" s="84"/>
      <c r="AU48" s="84"/>
      <c r="AV48" s="65"/>
      <c r="AW48" s="65"/>
      <c r="AX48" s="65"/>
      <c r="AY48" s="65"/>
      <c r="AZ48" s="88"/>
    </row>
    <row r="49" spans="3:52" ht="16.5" customHeight="1" x14ac:dyDescent="0.2">
      <c r="C49" s="96"/>
      <c r="D49" s="97"/>
      <c r="E49" s="72"/>
      <c r="F49" s="150">
        <f>算出計算!I2</f>
        <v>20880</v>
      </c>
      <c r="G49" s="150"/>
      <c r="H49" s="150"/>
      <c r="I49" s="150"/>
      <c r="J49" s="150"/>
      <c r="K49" s="150"/>
      <c r="L49" s="89"/>
      <c r="M49" s="89" t="s">
        <v>89</v>
      </c>
      <c r="N49" s="128">
        <f>算出計算!E15</f>
        <v>0</v>
      </c>
      <c r="O49" s="128"/>
      <c r="P49" s="128"/>
      <c r="Q49" s="128"/>
      <c r="R49" s="129"/>
      <c r="T49" s="96"/>
      <c r="U49" s="97"/>
      <c r="V49" s="72"/>
      <c r="W49" s="150">
        <f>算出計算!I3</f>
        <v>6960</v>
      </c>
      <c r="X49" s="150"/>
      <c r="Y49" s="150"/>
      <c r="Z49" s="150"/>
      <c r="AA49" s="150"/>
      <c r="AB49" s="150"/>
      <c r="AC49" s="89"/>
      <c r="AD49" s="89" t="s">
        <v>89</v>
      </c>
      <c r="AE49" s="128">
        <f>算出計算!E16</f>
        <v>0</v>
      </c>
      <c r="AF49" s="128"/>
      <c r="AG49" s="128"/>
      <c r="AH49" s="128"/>
      <c r="AI49" s="129"/>
      <c r="AK49" s="96"/>
      <c r="AL49" s="97"/>
      <c r="AM49" s="72"/>
      <c r="AN49" s="150">
        <f>算出計算!I4</f>
        <v>5280</v>
      </c>
      <c r="AO49" s="150"/>
      <c r="AP49" s="150"/>
      <c r="AQ49" s="150"/>
      <c r="AR49" s="150"/>
      <c r="AS49" s="150"/>
      <c r="AT49" s="89"/>
      <c r="AU49" s="89" t="s">
        <v>89</v>
      </c>
      <c r="AV49" s="128">
        <f>算出計算!E17</f>
        <v>0</v>
      </c>
      <c r="AW49" s="128"/>
      <c r="AX49" s="128"/>
      <c r="AY49" s="128"/>
      <c r="AZ49" s="129"/>
    </row>
    <row r="50" spans="3:52" ht="14.25" customHeight="1" x14ac:dyDescent="0.2">
      <c r="C50" s="98"/>
      <c r="D50" s="99"/>
      <c r="E50" s="100"/>
      <c r="F50" s="101"/>
      <c r="G50" s="101"/>
      <c r="H50" s="101"/>
      <c r="I50" s="101"/>
      <c r="J50" s="101"/>
      <c r="K50" s="101"/>
      <c r="L50" s="141" t="s">
        <v>30</v>
      </c>
      <c r="M50" s="141"/>
      <c r="N50" s="141"/>
      <c r="O50" s="142">
        <f>算出計算!J2</f>
        <v>660000</v>
      </c>
      <c r="P50" s="142"/>
      <c r="Q50" s="142"/>
      <c r="R50" s="143"/>
      <c r="T50" s="98"/>
      <c r="U50" s="99"/>
      <c r="V50" s="100"/>
      <c r="W50" s="101"/>
      <c r="X50" s="101"/>
      <c r="Y50" s="101"/>
      <c r="Z50" s="101"/>
      <c r="AA50" s="101"/>
      <c r="AB50" s="101"/>
      <c r="AC50" s="141" t="s">
        <v>30</v>
      </c>
      <c r="AD50" s="141"/>
      <c r="AE50" s="141"/>
      <c r="AF50" s="142">
        <f>算出計算!J3</f>
        <v>260000</v>
      </c>
      <c r="AG50" s="142"/>
      <c r="AH50" s="142"/>
      <c r="AI50" s="143"/>
      <c r="AK50" s="98"/>
      <c r="AL50" s="99"/>
      <c r="AM50" s="100"/>
      <c r="AN50" s="101"/>
      <c r="AO50" s="101"/>
      <c r="AP50" s="101"/>
      <c r="AQ50" s="101"/>
      <c r="AR50" s="101"/>
      <c r="AS50" s="101"/>
      <c r="AT50" s="141" t="s">
        <v>30</v>
      </c>
      <c r="AU50" s="141"/>
      <c r="AV50" s="141"/>
      <c r="AW50" s="142">
        <f>算出計算!J4</f>
        <v>170000</v>
      </c>
      <c r="AX50" s="142"/>
      <c r="AY50" s="142"/>
      <c r="AZ50" s="143"/>
    </row>
    <row r="51" spans="3:52" ht="13.5" customHeight="1" x14ac:dyDescent="0.2">
      <c r="C51" s="69"/>
      <c r="D51" s="12"/>
      <c r="E51" s="12"/>
      <c r="F51" s="130" t="s">
        <v>85</v>
      </c>
      <c r="G51" s="130"/>
      <c r="H51" s="130"/>
      <c r="I51" s="132">
        <f>算出計算!H15</f>
        <v>0</v>
      </c>
      <c r="J51" s="132"/>
      <c r="K51" s="132"/>
      <c r="L51" s="132"/>
      <c r="M51" s="132"/>
      <c r="N51" s="132"/>
      <c r="O51" s="132"/>
      <c r="P51" s="12"/>
      <c r="Q51" s="12"/>
      <c r="R51" s="70"/>
      <c r="T51" s="69"/>
      <c r="U51" s="12"/>
      <c r="V51" s="12"/>
      <c r="W51" s="130" t="s">
        <v>85</v>
      </c>
      <c r="X51" s="130"/>
      <c r="Y51" s="130"/>
      <c r="Z51" s="132">
        <f>算出計算!H16</f>
        <v>0</v>
      </c>
      <c r="AA51" s="132"/>
      <c r="AB51" s="132"/>
      <c r="AC51" s="132"/>
      <c r="AD51" s="132"/>
      <c r="AE51" s="132"/>
      <c r="AF51" s="132"/>
      <c r="AG51" s="12"/>
      <c r="AH51" s="12"/>
      <c r="AI51" s="70"/>
      <c r="AK51" s="69"/>
      <c r="AL51" s="12"/>
      <c r="AM51" s="12"/>
      <c r="AN51" s="130" t="s">
        <v>85</v>
      </c>
      <c r="AO51" s="130"/>
      <c r="AP51" s="130"/>
      <c r="AQ51" s="132">
        <f>算出計算!H17</f>
        <v>0</v>
      </c>
      <c r="AR51" s="132"/>
      <c r="AS51" s="132"/>
      <c r="AT51" s="132"/>
      <c r="AU51" s="132"/>
      <c r="AV51" s="132"/>
      <c r="AW51" s="132"/>
      <c r="AX51" s="12"/>
      <c r="AY51" s="12"/>
      <c r="AZ51" s="70"/>
    </row>
    <row r="52" spans="3:52" s="66" customFormat="1" ht="15.75" customHeight="1" thickBot="1" x14ac:dyDescent="0.25">
      <c r="C52" s="73"/>
      <c r="D52" s="74"/>
      <c r="E52" s="74"/>
      <c r="F52" s="131"/>
      <c r="G52" s="131"/>
      <c r="H52" s="131"/>
      <c r="I52" s="133"/>
      <c r="J52" s="133"/>
      <c r="K52" s="133"/>
      <c r="L52" s="133"/>
      <c r="M52" s="133"/>
      <c r="N52" s="133"/>
      <c r="O52" s="133"/>
      <c r="P52" s="74"/>
      <c r="Q52" s="74"/>
      <c r="R52" s="75"/>
      <c r="T52" s="73"/>
      <c r="U52" s="74"/>
      <c r="V52" s="74"/>
      <c r="W52" s="131"/>
      <c r="X52" s="131"/>
      <c r="Y52" s="131"/>
      <c r="Z52" s="133"/>
      <c r="AA52" s="133"/>
      <c r="AB52" s="133"/>
      <c r="AC52" s="133"/>
      <c r="AD52" s="133"/>
      <c r="AE52" s="133"/>
      <c r="AF52" s="133"/>
      <c r="AG52" s="74"/>
      <c r="AH52" s="74"/>
      <c r="AI52" s="75"/>
      <c r="AK52" s="73"/>
      <c r="AL52" s="74"/>
      <c r="AM52" s="74"/>
      <c r="AN52" s="131"/>
      <c r="AO52" s="131"/>
      <c r="AP52" s="131"/>
      <c r="AQ52" s="133"/>
      <c r="AR52" s="133"/>
      <c r="AS52" s="133"/>
      <c r="AT52" s="133"/>
      <c r="AU52" s="133"/>
      <c r="AV52" s="133"/>
      <c r="AW52" s="133"/>
      <c r="AX52" s="74"/>
      <c r="AY52" s="74"/>
      <c r="AZ52" s="75"/>
    </row>
    <row r="53" spans="3:52" s="67" customFormat="1" ht="16.2" x14ac:dyDescent="0.2">
      <c r="C53" s="127" t="str">
        <f>IF(算出計算!G15&lt;&gt;0,"※限度額が適用された金額です。","")</f>
        <v/>
      </c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T53" s="127" t="str">
        <f>IF(算出計算!G16&lt;&gt;0,"※限度額が適用された金額です。","")</f>
        <v/>
      </c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K53" s="127" t="str">
        <f>IF(算出計算!G17&lt;&gt;0,"※限度額が適用された金額です。","")</f>
        <v/>
      </c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</row>
    <row r="54" spans="3:52" ht="13.5" customHeight="1" x14ac:dyDescent="0.2"/>
    <row r="55" spans="3:52" ht="9" customHeight="1" x14ac:dyDescent="0.2"/>
    <row r="57" spans="3:52" ht="13.5" customHeight="1" x14ac:dyDescent="0.2"/>
    <row r="58" spans="3:52" ht="14.25" customHeight="1" thickBot="1" x14ac:dyDescent="0.25"/>
    <row r="59" spans="3:52" ht="13.5" customHeight="1" x14ac:dyDescent="0.2">
      <c r="S59" s="153" t="s">
        <v>87</v>
      </c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5"/>
    </row>
    <row r="60" spans="3:52" ht="9.75" customHeight="1" x14ac:dyDescent="0.2">
      <c r="S60" s="156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7"/>
      <c r="AI60" s="157"/>
      <c r="AJ60" s="158"/>
    </row>
    <row r="61" spans="3:52" ht="13.5" customHeight="1" x14ac:dyDescent="0.2">
      <c r="S61" s="160">
        <f>算出計算!H18</f>
        <v>0</v>
      </c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2"/>
    </row>
    <row r="62" spans="3:52" ht="13.5" customHeight="1" x14ac:dyDescent="0.2">
      <c r="S62" s="163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5"/>
    </row>
    <row r="63" spans="3:52" ht="6.75" customHeight="1" thickBot="1" x14ac:dyDescent="0.25">
      <c r="S63" s="166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8"/>
    </row>
    <row r="65" spans="13:43" ht="13.5" customHeight="1" x14ac:dyDescent="0.2">
      <c r="N65" s="80"/>
      <c r="O65" s="80"/>
      <c r="P65" s="80"/>
      <c r="Q65" s="80"/>
      <c r="R65" s="80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80"/>
      <c r="AL65" s="80"/>
      <c r="AM65" s="80"/>
      <c r="AN65" s="80"/>
      <c r="AO65" s="80"/>
    </row>
    <row r="66" spans="13:43" ht="5.25" customHeight="1" x14ac:dyDescent="0.2">
      <c r="N66" s="80"/>
      <c r="O66" s="80"/>
      <c r="P66" s="80"/>
      <c r="Q66" s="80"/>
      <c r="R66" s="80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80"/>
      <c r="AL66" s="80"/>
      <c r="AM66" s="80"/>
      <c r="AN66" s="80"/>
      <c r="AO66" s="80"/>
    </row>
    <row r="67" spans="13:43" ht="17.25" customHeight="1" x14ac:dyDescent="0.2">
      <c r="N67" s="80"/>
      <c r="O67" s="80"/>
      <c r="P67" s="80"/>
      <c r="Q67" s="80"/>
      <c r="R67" s="80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59"/>
      <c r="AK67" s="80"/>
      <c r="AL67" s="80"/>
      <c r="AM67" s="80"/>
      <c r="AN67" s="80"/>
      <c r="AO67" s="80"/>
    </row>
    <row r="68" spans="13:43" ht="12.75" customHeight="1" x14ac:dyDescent="0.2"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59"/>
    </row>
    <row r="69" spans="13:43" ht="3.75" customHeight="1" x14ac:dyDescent="0.2"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59"/>
      <c r="AG69" s="159"/>
      <c r="AH69" s="159"/>
      <c r="AI69" s="159"/>
      <c r="AJ69" s="159"/>
    </row>
    <row r="70" spans="13:43" ht="45.75" customHeight="1" x14ac:dyDescent="0.2"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</row>
    <row r="71" spans="13:43" ht="13.5" customHeight="1" x14ac:dyDescent="0.2">
      <c r="S71" s="80"/>
      <c r="AJ71" s="80"/>
    </row>
    <row r="72" spans="13:43" ht="13.5" customHeight="1" x14ac:dyDescent="0.2">
      <c r="S72" s="80"/>
      <c r="AJ72" s="80"/>
    </row>
    <row r="73" spans="13:43" ht="13.5" customHeight="1" x14ac:dyDescent="0.2">
      <c r="S73" s="80"/>
      <c r="AJ73" s="80"/>
    </row>
  </sheetData>
  <sheetProtection algorithmName="SHA-512" hashValue="a4aJpn18YF8WdW/hHTa4n5h1EbS5jtMJGBQS1uCAfi9pT6LAGVtObXTm8TSShiYOtrmK7l5vVB5SxdE7xuZUMw==" saltValue="d3nC3SgxgxREN1bO3VPufQ==" spinCount="100000" sheet="1" selectLockedCells="1"/>
  <mergeCells count="127">
    <mergeCell ref="AV26:BB26"/>
    <mergeCell ref="AV27:BB27"/>
    <mergeCell ref="AO28:AU28"/>
    <mergeCell ref="AO29:AU29"/>
    <mergeCell ref="AH31:AN31"/>
    <mergeCell ref="AO31:AU31"/>
    <mergeCell ref="AV43:AZ43"/>
    <mergeCell ref="AV35:BB36"/>
    <mergeCell ref="AH32:AN32"/>
    <mergeCell ref="AO35:AU36"/>
    <mergeCell ref="AK39:AZ40"/>
    <mergeCell ref="AK42:AP42"/>
    <mergeCell ref="AR42:AT42"/>
    <mergeCell ref="AV32:BB32"/>
    <mergeCell ref="AO26:AU27"/>
    <mergeCell ref="AO32:AU32"/>
    <mergeCell ref="AV28:BB28"/>
    <mergeCell ref="AV29:BB29"/>
    <mergeCell ref="AV30:BB30"/>
    <mergeCell ref="AV31:BB31"/>
    <mergeCell ref="AO30:AU30"/>
    <mergeCell ref="AE49:AI49"/>
    <mergeCell ref="AO33:AU34"/>
    <mergeCell ref="AV46:AZ46"/>
    <mergeCell ref="AV33:BB34"/>
    <mergeCell ref="AA32:AG32"/>
    <mergeCell ref="G28:J28"/>
    <mergeCell ref="F48:K48"/>
    <mergeCell ref="F49:K49"/>
    <mergeCell ref="AN48:AS48"/>
    <mergeCell ref="AR46:AT46"/>
    <mergeCell ref="AM46:AP46"/>
    <mergeCell ref="AA31:AG31"/>
    <mergeCell ref="AA42:AC42"/>
    <mergeCell ref="T43:Y43"/>
    <mergeCell ref="AA43:AC43"/>
    <mergeCell ref="C31:F31"/>
    <mergeCell ref="V46:Y46"/>
    <mergeCell ref="AE46:AI46"/>
    <mergeCell ref="W48:AB48"/>
    <mergeCell ref="W49:AB49"/>
    <mergeCell ref="N46:R46"/>
    <mergeCell ref="AH28:AN28"/>
    <mergeCell ref="AH29:AN29"/>
    <mergeCell ref="AH30:AN30"/>
    <mergeCell ref="AA28:AG28"/>
    <mergeCell ref="AA29:AG29"/>
    <mergeCell ref="AA30:AG30"/>
    <mergeCell ref="T28:Z28"/>
    <mergeCell ref="T29:Z29"/>
    <mergeCell ref="Q26:S27"/>
    <mergeCell ref="T26:Z27"/>
    <mergeCell ref="Q28:S28"/>
    <mergeCell ref="C39:R40"/>
    <mergeCell ref="T39:AI40"/>
    <mergeCell ref="C26:F27"/>
    <mergeCell ref="G26:J27"/>
    <mergeCell ref="K26:M27"/>
    <mergeCell ref="N26:P27"/>
    <mergeCell ref="C28:F28"/>
    <mergeCell ref="AA26:AG27"/>
    <mergeCell ref="AH26:AN27"/>
    <mergeCell ref="K28:M28"/>
    <mergeCell ref="N28:P28"/>
    <mergeCell ref="C29:F29"/>
    <mergeCell ref="G29:J29"/>
    <mergeCell ref="K29:M29"/>
    <mergeCell ref="N29:P29"/>
    <mergeCell ref="C30:F30"/>
    <mergeCell ref="G30:J30"/>
    <mergeCell ref="K30:M30"/>
    <mergeCell ref="N30:P30"/>
    <mergeCell ref="Q29:S29"/>
    <mergeCell ref="M70:AQ70"/>
    <mergeCell ref="N43:R43"/>
    <mergeCell ref="N49:R49"/>
    <mergeCell ref="AE43:AI43"/>
    <mergeCell ref="V45:Y45"/>
    <mergeCell ref="AK43:AP43"/>
    <mergeCell ref="AN49:AS49"/>
    <mergeCell ref="S65:AJ66"/>
    <mergeCell ref="AR43:AT43"/>
    <mergeCell ref="S59:AJ60"/>
    <mergeCell ref="I51:O52"/>
    <mergeCell ref="AC50:AE50"/>
    <mergeCell ref="AF50:AI50"/>
    <mergeCell ref="S67:AJ69"/>
    <mergeCell ref="AA46:AC46"/>
    <mergeCell ref="AA45:AC45"/>
    <mergeCell ref="W51:Y52"/>
    <mergeCell ref="Z51:AF52"/>
    <mergeCell ref="S61:AJ63"/>
    <mergeCell ref="C53:R53"/>
    <mergeCell ref="AK53:AZ53"/>
    <mergeCell ref="AV49:AZ49"/>
    <mergeCell ref="AN51:AP52"/>
    <mergeCell ref="AQ51:AW52"/>
    <mergeCell ref="C32:F32"/>
    <mergeCell ref="G32:J32"/>
    <mergeCell ref="K32:M32"/>
    <mergeCell ref="N32:P32"/>
    <mergeCell ref="Q30:S30"/>
    <mergeCell ref="Q31:S31"/>
    <mergeCell ref="T32:Z32"/>
    <mergeCell ref="Q32:S32"/>
    <mergeCell ref="T31:Z31"/>
    <mergeCell ref="T30:Z30"/>
    <mergeCell ref="G31:J31"/>
    <mergeCell ref="K31:M31"/>
    <mergeCell ref="N31:P31"/>
    <mergeCell ref="T53:AI53"/>
    <mergeCell ref="F51:H52"/>
    <mergeCell ref="AT50:AV50"/>
    <mergeCell ref="AW50:AZ50"/>
    <mergeCell ref="O50:R50"/>
    <mergeCell ref="L50:N50"/>
    <mergeCell ref="C42:H42"/>
    <mergeCell ref="J42:L42"/>
    <mergeCell ref="J46:L46"/>
    <mergeCell ref="J45:L45"/>
    <mergeCell ref="C43:H43"/>
    <mergeCell ref="J43:L43"/>
    <mergeCell ref="E46:H46"/>
    <mergeCell ref="E45:H45"/>
    <mergeCell ref="T42:Y42"/>
    <mergeCell ref="AR45:AT45"/>
    <mergeCell ref="AM45:AP45"/>
  </mergeCells>
  <phoneticPr fontId="2"/>
  <dataValidations count="4">
    <dataValidation type="whole" allowBlank="1" showInputMessage="1" showErrorMessage="1" sqref="K28:M32" xr:uid="{00000000-0002-0000-0000-000000000000}">
      <formula1>1</formula1>
      <formula2>64</formula2>
    </dataValidation>
    <dataValidation type="whole" allowBlank="1" showInputMessage="1" showErrorMessage="1" sqref="N28:P32" xr:uid="{00000000-0002-0000-0000-000001000000}">
      <formula1>1</formula1>
      <formula2>12</formula2>
    </dataValidation>
    <dataValidation type="whole" allowBlank="1" showInputMessage="1" showErrorMessage="1" sqref="Q28:S32" xr:uid="{00000000-0002-0000-0000-000002000000}">
      <formula1>1</formula1>
      <formula2>31</formula2>
    </dataValidation>
    <dataValidation type="list" allowBlank="1" showInputMessage="1" showErrorMessage="1" sqref="G28:J32" xr:uid="{00000000-0002-0000-0000-000003000000}">
      <formula1>$BE$27:$BE$30</formula1>
    </dataValidation>
  </dataValidations>
  <pageMargins left="0.39370078740157483" right="0.39370078740157483" top="0.98425196850393704" bottom="0.39370078740157483" header="0" footer="0"/>
  <pageSetup paperSize="9" scale="63" orientation="portrait" r:id="rId1"/>
  <headerFooter alignWithMargins="0"/>
  <cellWatches>
    <cellWatch r="O50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I119"/>
  <sheetViews>
    <sheetView zoomScaleNormal="100" workbookViewId="0">
      <selection activeCell="J2" sqref="J2"/>
    </sheetView>
  </sheetViews>
  <sheetFormatPr defaultRowHeight="13.2" x14ac:dyDescent="0.2"/>
  <cols>
    <col min="3" max="3" width="119.88671875" bestFit="1" customWidth="1"/>
    <col min="6" max="6" width="10.21875" customWidth="1"/>
    <col min="7" max="7" width="17.88671875" bestFit="1" customWidth="1"/>
    <col min="8" max="8" width="13.44140625" bestFit="1" customWidth="1"/>
    <col min="10" max="10" width="10.77734375" bestFit="1" customWidth="1"/>
    <col min="13" max="13" width="10.77734375" bestFit="1" customWidth="1"/>
    <col min="14" max="14" width="9.44140625" bestFit="1" customWidth="1"/>
    <col min="15" max="17" width="9.44140625" customWidth="1"/>
    <col min="18" max="18" width="9.44140625" bestFit="1" customWidth="1"/>
  </cols>
  <sheetData>
    <row r="1" spans="1:35" x14ac:dyDescent="0.2">
      <c r="A1" s="263" t="s">
        <v>28</v>
      </c>
      <c r="B1" s="264"/>
      <c r="C1" s="264"/>
      <c r="D1" s="264"/>
      <c r="E1" s="264"/>
      <c r="F1" s="43" t="s">
        <v>29</v>
      </c>
      <c r="G1" s="27" t="s">
        <v>16</v>
      </c>
      <c r="H1" s="27" t="s">
        <v>17</v>
      </c>
      <c r="I1" s="27" t="s">
        <v>18</v>
      </c>
      <c r="J1" s="27" t="s">
        <v>30</v>
      </c>
      <c r="K1" s="27" t="s">
        <v>88</v>
      </c>
    </row>
    <row r="2" spans="1:35" x14ac:dyDescent="0.2">
      <c r="A2" s="265"/>
      <c r="B2" s="266"/>
      <c r="C2" s="266"/>
      <c r="D2" s="266"/>
      <c r="E2" s="266"/>
      <c r="F2" s="27" t="s">
        <v>9</v>
      </c>
      <c r="G2" s="54">
        <v>8.1500000000000003E-2</v>
      </c>
      <c r="H2" s="55">
        <v>28320</v>
      </c>
      <c r="I2" s="55">
        <v>20880</v>
      </c>
      <c r="J2" s="55">
        <v>660000</v>
      </c>
      <c r="K2" s="55">
        <v>430000</v>
      </c>
    </row>
    <row r="3" spans="1:35" x14ac:dyDescent="0.2">
      <c r="A3" s="267" t="s">
        <v>12</v>
      </c>
      <c r="B3" s="255" t="s">
        <v>13</v>
      </c>
      <c r="C3" s="256"/>
      <c r="D3" s="257"/>
      <c r="E3" s="115">
        <v>2024</v>
      </c>
      <c r="F3" s="27" t="s">
        <v>10</v>
      </c>
      <c r="G3" s="54">
        <v>2.9499999999999998E-2</v>
      </c>
      <c r="H3" s="55">
        <v>10320</v>
      </c>
      <c r="I3" s="55">
        <v>6960</v>
      </c>
      <c r="J3" s="116">
        <v>260000</v>
      </c>
      <c r="L3" s="1" t="s">
        <v>26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x14ac:dyDescent="0.2">
      <c r="A4" s="267"/>
      <c r="B4" s="255"/>
      <c r="C4" s="256"/>
      <c r="D4" s="257"/>
      <c r="E4" s="44"/>
      <c r="F4" s="27" t="s">
        <v>31</v>
      </c>
      <c r="G4" s="54">
        <v>2.5999999999999999E-2</v>
      </c>
      <c r="H4" s="55">
        <v>10920</v>
      </c>
      <c r="I4" s="55">
        <v>5280</v>
      </c>
      <c r="J4" s="55">
        <v>170000</v>
      </c>
      <c r="L4" s="29" t="s">
        <v>49</v>
      </c>
      <c r="M4" s="29"/>
      <c r="N4" s="29"/>
      <c r="O4" s="29" t="s">
        <v>27</v>
      </c>
      <c r="P4" s="29"/>
      <c r="Q4" s="29"/>
      <c r="R4" s="29" t="s">
        <v>32</v>
      </c>
      <c r="S4" s="29"/>
      <c r="T4" s="29"/>
      <c r="U4" s="29" t="s">
        <v>33</v>
      </c>
      <c r="V4" s="29"/>
      <c r="W4" s="29"/>
      <c r="X4" s="29" t="s">
        <v>30</v>
      </c>
      <c r="Y4" s="29"/>
      <c r="Z4" s="29"/>
    </row>
    <row r="5" spans="1:35" ht="13.5" customHeight="1" x14ac:dyDescent="0.2">
      <c r="A5" s="268" t="s">
        <v>14</v>
      </c>
      <c r="B5" s="23"/>
      <c r="C5" s="255" t="s">
        <v>59</v>
      </c>
      <c r="D5" s="256"/>
      <c r="E5" s="257"/>
      <c r="F5" s="259" t="s">
        <v>58</v>
      </c>
      <c r="G5" s="260"/>
      <c r="H5" s="14"/>
      <c r="I5" s="62"/>
      <c r="J5" s="62"/>
      <c r="K5" s="14"/>
      <c r="L5" s="29" t="s">
        <v>9</v>
      </c>
      <c r="M5" s="29" t="s">
        <v>10</v>
      </c>
      <c r="N5" s="29" t="s">
        <v>11</v>
      </c>
      <c r="O5" s="29" t="s">
        <v>9</v>
      </c>
      <c r="P5" s="29" t="s">
        <v>10</v>
      </c>
      <c r="Q5" s="29" t="s">
        <v>11</v>
      </c>
      <c r="R5" s="29" t="s">
        <v>9</v>
      </c>
      <c r="S5" s="29" t="s">
        <v>10</v>
      </c>
      <c r="T5" s="29" t="s">
        <v>11</v>
      </c>
      <c r="U5" s="29" t="s">
        <v>9</v>
      </c>
      <c r="V5" s="29" t="s">
        <v>10</v>
      </c>
      <c r="W5" s="29" t="s">
        <v>11</v>
      </c>
      <c r="X5" s="29" t="s">
        <v>9</v>
      </c>
      <c r="Y5" s="29" t="s">
        <v>10</v>
      </c>
      <c r="Z5" s="29" t="s">
        <v>11</v>
      </c>
    </row>
    <row r="6" spans="1:35" x14ac:dyDescent="0.2">
      <c r="A6" s="267"/>
      <c r="B6" s="24" t="s">
        <v>0</v>
      </c>
      <c r="C6" s="25" t="s">
        <v>9</v>
      </c>
      <c r="D6" s="25" t="s">
        <v>10</v>
      </c>
      <c r="E6" s="25" t="s">
        <v>11</v>
      </c>
      <c r="F6" s="25" t="s">
        <v>72</v>
      </c>
      <c r="G6" s="25" t="s">
        <v>11</v>
      </c>
      <c r="H6" s="10"/>
      <c r="I6" s="62"/>
      <c r="J6" s="62"/>
      <c r="K6" s="14"/>
      <c r="L6" s="30"/>
      <c r="M6" s="30"/>
      <c r="N6" s="30"/>
      <c r="O6" s="29">
        <f>G2</f>
        <v>8.1500000000000003E-2</v>
      </c>
      <c r="P6" s="29">
        <f>G3</f>
        <v>2.9499999999999998E-2</v>
      </c>
      <c r="Q6" s="29">
        <f>G4</f>
        <v>2.5999999999999999E-2</v>
      </c>
      <c r="R6" s="31">
        <f>H2</f>
        <v>28320</v>
      </c>
      <c r="S6" s="31">
        <f>H3</f>
        <v>10320</v>
      </c>
      <c r="T6" s="31">
        <f>H4</f>
        <v>10920</v>
      </c>
      <c r="U6" s="31">
        <f>I2</f>
        <v>20880</v>
      </c>
      <c r="V6" s="31">
        <f>I3</f>
        <v>6960</v>
      </c>
      <c r="W6" s="31">
        <f>I4</f>
        <v>5280</v>
      </c>
      <c r="X6" s="31">
        <f>J2</f>
        <v>660000</v>
      </c>
      <c r="Y6" s="31">
        <f>J3</f>
        <v>260000</v>
      </c>
      <c r="Z6" s="31">
        <f>J4</f>
        <v>170000</v>
      </c>
    </row>
    <row r="7" spans="1:35" x14ac:dyDescent="0.2">
      <c r="A7" s="42" t="s">
        <v>51</v>
      </c>
      <c r="B7" s="24">
        <f>G24</f>
        <v>0</v>
      </c>
      <c r="C7" s="13" t="str">
        <f>IF(B7=0,"×","○")</f>
        <v>×</v>
      </c>
      <c r="D7" s="8" t="str">
        <f>C7</f>
        <v>×</v>
      </c>
      <c r="E7" s="13" t="str">
        <f>IF(AND(B7&gt;=(($E$3-65)*10000+502),B7&lt;=(($E$3-39)*10000+401)),"○","×")</f>
        <v>×</v>
      </c>
      <c r="F7" s="3">
        <f>IF(C7="○",D31,0)</f>
        <v>0</v>
      </c>
      <c r="G7" s="3">
        <f>IF(E7="○",F7,0)</f>
        <v>0</v>
      </c>
      <c r="H7" s="15"/>
      <c r="I7" s="62"/>
      <c r="J7" s="62"/>
      <c r="K7" s="15"/>
      <c r="L7" s="45">
        <f>IF(F7-430000&gt;0,F7-430000,0)</f>
        <v>0</v>
      </c>
      <c r="M7" s="45">
        <f t="shared" ref="M7:M12" si="0">L7</f>
        <v>0</v>
      </c>
      <c r="N7" s="45">
        <f>IF(G7-430000&gt;0,G7-430000,0)</f>
        <v>0</v>
      </c>
      <c r="O7" s="36" t="s">
        <v>73</v>
      </c>
      <c r="P7" s="36" t="s">
        <v>73</v>
      </c>
      <c r="Q7" s="36" t="s">
        <v>73</v>
      </c>
      <c r="R7" s="36">
        <f>IF(C7="○",$R$6,0)</f>
        <v>0</v>
      </c>
      <c r="S7" s="36">
        <f>IF(C7="○",$S$6,0)</f>
        <v>0</v>
      </c>
      <c r="T7" s="36">
        <f>IF(E7="○",$T$6,0)</f>
        <v>0</v>
      </c>
      <c r="U7" s="36" t="s">
        <v>47</v>
      </c>
      <c r="V7" s="36" t="s">
        <v>47</v>
      </c>
      <c r="W7" s="36" t="s">
        <v>47</v>
      </c>
      <c r="X7" s="36" t="s">
        <v>47</v>
      </c>
      <c r="Y7" s="36" t="s">
        <v>47</v>
      </c>
      <c r="Z7" s="36" t="s">
        <v>47</v>
      </c>
    </row>
    <row r="8" spans="1:35" x14ac:dyDescent="0.2">
      <c r="A8" s="42" t="s">
        <v>52</v>
      </c>
      <c r="B8" s="24">
        <f>G43</f>
        <v>0</v>
      </c>
      <c r="C8" s="13" t="str">
        <f>IF(B8=0,"×","○")</f>
        <v>×</v>
      </c>
      <c r="D8" s="8" t="str">
        <f>C8</f>
        <v>×</v>
      </c>
      <c r="E8" s="13" t="str">
        <f>IF(AND(B8&gt;=(($E$3-65)*10000+502),B8&lt;=(($E$3-39)*10000+401)),"○","×")</f>
        <v>×</v>
      </c>
      <c r="F8" s="3">
        <f>IF(C8="○",D50,0)</f>
        <v>0</v>
      </c>
      <c r="G8" s="3">
        <f>IF(E8="○",F8,0)</f>
        <v>0</v>
      </c>
      <c r="H8" s="15"/>
      <c r="I8" s="62"/>
      <c r="J8" s="62"/>
      <c r="K8" s="9"/>
      <c r="L8" s="45">
        <f>IF(F8-430000&gt;0,F8-430000,0)</f>
        <v>0</v>
      </c>
      <c r="M8" s="45">
        <f t="shared" si="0"/>
        <v>0</v>
      </c>
      <c r="N8" s="45">
        <f>IF(G8-430000&gt;0,G8-430000,0)</f>
        <v>0</v>
      </c>
      <c r="O8" s="36" t="s">
        <v>73</v>
      </c>
      <c r="P8" s="36" t="s">
        <v>73</v>
      </c>
      <c r="Q8" s="36" t="s">
        <v>73</v>
      </c>
      <c r="R8" s="36">
        <f>IF(C8="○",$R$6,0)</f>
        <v>0</v>
      </c>
      <c r="S8" s="36">
        <f>IF(C8="○",$S$6,0)</f>
        <v>0</v>
      </c>
      <c r="T8" s="36">
        <f>IF(E8="○",$T$6,0)</f>
        <v>0</v>
      </c>
      <c r="U8" s="36" t="s">
        <v>47</v>
      </c>
      <c r="V8" s="36" t="s">
        <v>47</v>
      </c>
      <c r="W8" s="36" t="s">
        <v>47</v>
      </c>
      <c r="X8" s="36" t="s">
        <v>47</v>
      </c>
      <c r="Y8" s="36" t="s">
        <v>47</v>
      </c>
      <c r="Z8" s="36" t="s">
        <v>47</v>
      </c>
    </row>
    <row r="9" spans="1:35" x14ac:dyDescent="0.2">
      <c r="A9" s="42" t="s">
        <v>53</v>
      </c>
      <c r="B9" s="24">
        <f>G62</f>
        <v>0</v>
      </c>
      <c r="C9" s="13" t="str">
        <f>IF(B9=0,"×","○")</f>
        <v>×</v>
      </c>
      <c r="D9" s="8" t="str">
        <f>C9</f>
        <v>×</v>
      </c>
      <c r="E9" s="13" t="str">
        <f>IF(AND(B9&gt;=(($E$3-65)*10000+502),B9&lt;=(($E$3-39)*10000+401)),"○","×")</f>
        <v>×</v>
      </c>
      <c r="F9" s="3">
        <f>IF(C9="○",D69,0)</f>
        <v>0</v>
      </c>
      <c r="G9" s="3">
        <f>IF(E9="○",F9,0)</f>
        <v>0</v>
      </c>
      <c r="H9" s="15"/>
      <c r="I9" s="11"/>
      <c r="J9" s="61"/>
      <c r="K9" s="9"/>
      <c r="L9" s="45">
        <f>IF(F9-430000&gt;0,F9-430000,0)</f>
        <v>0</v>
      </c>
      <c r="M9" s="45">
        <f t="shared" si="0"/>
        <v>0</v>
      </c>
      <c r="N9" s="45">
        <f>IF(G9-430000&gt;0,G9-430000,0)</f>
        <v>0</v>
      </c>
      <c r="O9" s="36" t="s">
        <v>73</v>
      </c>
      <c r="P9" s="36" t="s">
        <v>73</v>
      </c>
      <c r="Q9" s="36" t="s">
        <v>73</v>
      </c>
      <c r="R9" s="36">
        <f>IF(C9="○",$R$6,0)</f>
        <v>0</v>
      </c>
      <c r="S9" s="36">
        <f>IF(C9="○",$S$6,0)</f>
        <v>0</v>
      </c>
      <c r="T9" s="36">
        <f>IF(E9="○",$T$6,0)</f>
        <v>0</v>
      </c>
      <c r="U9" s="36" t="s">
        <v>47</v>
      </c>
      <c r="V9" s="36" t="s">
        <v>47</v>
      </c>
      <c r="W9" s="36" t="s">
        <v>47</v>
      </c>
      <c r="X9" s="36" t="s">
        <v>47</v>
      </c>
      <c r="Y9" s="36" t="s">
        <v>47</v>
      </c>
      <c r="Z9" s="36" t="s">
        <v>47</v>
      </c>
    </row>
    <row r="10" spans="1:35" x14ac:dyDescent="0.2">
      <c r="A10" s="42" t="s">
        <v>54</v>
      </c>
      <c r="B10" s="24">
        <f>G81</f>
        <v>0</v>
      </c>
      <c r="C10" s="13" t="str">
        <f>IF(B10=0,"×","○")</f>
        <v>×</v>
      </c>
      <c r="D10" s="8" t="str">
        <f>C10</f>
        <v>×</v>
      </c>
      <c r="E10" s="13" t="str">
        <f>IF(AND(B10&gt;=(($E$3-65)*10000+502),B10&lt;=(($E$3-39)*10000+401)),"○","×")</f>
        <v>×</v>
      </c>
      <c r="F10" s="3">
        <f>IF(C10="○",D88,0)</f>
        <v>0</v>
      </c>
      <c r="G10" s="3">
        <f>IF(E10="○",F10,0)</f>
        <v>0</v>
      </c>
      <c r="H10" s="15"/>
      <c r="I10" s="11"/>
      <c r="J10" s="9"/>
      <c r="K10" s="9"/>
      <c r="L10" s="45">
        <f>IF(F10-430000&gt;0,F10-430000,0)</f>
        <v>0</v>
      </c>
      <c r="M10" s="45">
        <f t="shared" si="0"/>
        <v>0</v>
      </c>
      <c r="N10" s="45">
        <f>IF(G10-430000&gt;0,G10-430000,0)</f>
        <v>0</v>
      </c>
      <c r="O10" s="36" t="s">
        <v>73</v>
      </c>
      <c r="P10" s="36" t="s">
        <v>73</v>
      </c>
      <c r="Q10" s="36" t="s">
        <v>73</v>
      </c>
      <c r="R10" s="36">
        <f>IF(C10="○",$R$6,0)</f>
        <v>0</v>
      </c>
      <c r="S10" s="36">
        <f>IF(C10="○",$S$6,0)</f>
        <v>0</v>
      </c>
      <c r="T10" s="36">
        <f>IF(E10="○",$T$6,0)</f>
        <v>0</v>
      </c>
      <c r="U10" s="36" t="s">
        <v>47</v>
      </c>
      <c r="V10" s="36" t="s">
        <v>47</v>
      </c>
      <c r="W10" s="36" t="s">
        <v>47</v>
      </c>
      <c r="X10" s="36" t="s">
        <v>47</v>
      </c>
      <c r="Y10" s="36" t="s">
        <v>47</v>
      </c>
      <c r="Z10" s="36" t="s">
        <v>47</v>
      </c>
    </row>
    <row r="11" spans="1:35" x14ac:dyDescent="0.2">
      <c r="A11" s="42" t="s">
        <v>55</v>
      </c>
      <c r="B11" s="24">
        <f>G100</f>
        <v>0</v>
      </c>
      <c r="C11" s="13" t="str">
        <f>IF(B11=0,"×","○")</f>
        <v>×</v>
      </c>
      <c r="D11" s="8" t="str">
        <f>C11</f>
        <v>×</v>
      </c>
      <c r="E11" s="13" t="str">
        <f>IF(AND(B11&gt;=(($E$3-65)*10000+502),B11&lt;=(($E$3-39)*10000+401)),"○","×")</f>
        <v>×</v>
      </c>
      <c r="F11" s="3">
        <f>IF(C11="○",D107,0)</f>
        <v>0</v>
      </c>
      <c r="G11" s="3">
        <f>IF(E11="○",F11,0)</f>
        <v>0</v>
      </c>
      <c r="H11" s="15"/>
      <c r="I11" s="10"/>
      <c r="J11" s="7"/>
      <c r="K11" s="9"/>
      <c r="L11" s="45">
        <f>IF(F11-430000&gt;0,F11-430000,0)</f>
        <v>0</v>
      </c>
      <c r="M11" s="45">
        <f t="shared" si="0"/>
        <v>0</v>
      </c>
      <c r="N11" s="45">
        <f>IF(G11-430000&gt;0,G11-430000,0)</f>
        <v>0</v>
      </c>
      <c r="O11" s="36" t="s">
        <v>73</v>
      </c>
      <c r="P11" s="36" t="s">
        <v>73</v>
      </c>
      <c r="Q11" s="36" t="s">
        <v>73</v>
      </c>
      <c r="R11" s="36">
        <f>IF(C11="○",$R$6,0)</f>
        <v>0</v>
      </c>
      <c r="S11" s="36">
        <f>IF(C11="○",$S$6,0)</f>
        <v>0</v>
      </c>
      <c r="T11" s="36">
        <f>IF(E11="○",$T$6,0)</f>
        <v>0</v>
      </c>
      <c r="U11" s="36" t="s">
        <v>47</v>
      </c>
      <c r="V11" s="36" t="s">
        <v>47</v>
      </c>
      <c r="W11" s="36" t="s">
        <v>47</v>
      </c>
      <c r="X11" s="36" t="s">
        <v>47</v>
      </c>
      <c r="Y11" s="36" t="s">
        <v>47</v>
      </c>
      <c r="Z11" s="36" t="s">
        <v>47</v>
      </c>
    </row>
    <row r="12" spans="1:35" x14ac:dyDescent="0.2">
      <c r="A12" s="261" t="s">
        <v>78</v>
      </c>
      <c r="B12" s="262"/>
      <c r="C12" s="37">
        <f>COUNTIF(C7:C11,"○")</f>
        <v>0</v>
      </c>
      <c r="D12" s="37">
        <f>COUNTIF(D7:D11,"○")</f>
        <v>0</v>
      </c>
      <c r="E12" s="37">
        <f>COUNTIF(E7:E11,"○")</f>
        <v>0</v>
      </c>
      <c r="F12" s="37">
        <f>SUM(F7:F11)</f>
        <v>0</v>
      </c>
      <c r="G12" s="37">
        <f>SUM(G7:G11)</f>
        <v>0</v>
      </c>
      <c r="H12" s="63"/>
      <c r="J12" s="9"/>
      <c r="K12" s="9"/>
      <c r="L12" s="45">
        <f>SUM(L7:L11)</f>
        <v>0</v>
      </c>
      <c r="M12" s="45">
        <f t="shared" si="0"/>
        <v>0</v>
      </c>
      <c r="N12" s="45">
        <f>SUM(N7:N11)</f>
        <v>0</v>
      </c>
      <c r="O12" s="45">
        <f>ROUNDDOWN(L12*G2,0)</f>
        <v>0</v>
      </c>
      <c r="P12" s="45">
        <f>ROUNDDOWN(M12*G3,0)</f>
        <v>0</v>
      </c>
      <c r="Q12" s="45">
        <f>ROUNDDOWN(N12*G4,0)</f>
        <v>0</v>
      </c>
      <c r="R12" s="36">
        <f>SUM(R7:R11)</f>
        <v>0</v>
      </c>
      <c r="S12" s="36">
        <f>SUM(S7:S11)</f>
        <v>0</v>
      </c>
      <c r="T12" s="36">
        <f>SUM(T7:T11)</f>
        <v>0</v>
      </c>
      <c r="U12" s="36">
        <f>IF(C12=0,0,U6)</f>
        <v>0</v>
      </c>
      <c r="V12" s="36">
        <f>IF(D12=0,0,V6)</f>
        <v>0</v>
      </c>
      <c r="W12" s="36">
        <f>IF(E12=0,0,W6)</f>
        <v>0</v>
      </c>
      <c r="X12" s="45">
        <f>X6</f>
        <v>660000</v>
      </c>
      <c r="Y12" s="45">
        <f>Y6</f>
        <v>260000</v>
      </c>
      <c r="Z12" s="45">
        <f>Z6</f>
        <v>170000</v>
      </c>
    </row>
    <row r="13" spans="1:35" x14ac:dyDescent="0.2">
      <c r="J13" s="7"/>
      <c r="K13" s="9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</row>
    <row r="14" spans="1:35" x14ac:dyDescent="0.2">
      <c r="A14" s="26" t="s">
        <v>15</v>
      </c>
      <c r="B14" s="32" t="s">
        <v>49</v>
      </c>
      <c r="C14" s="27" t="s">
        <v>16</v>
      </c>
      <c r="D14" s="27" t="s">
        <v>17</v>
      </c>
      <c r="E14" s="27" t="s">
        <v>18</v>
      </c>
      <c r="F14" s="27" t="s">
        <v>19</v>
      </c>
      <c r="G14" s="27" t="s">
        <v>20</v>
      </c>
      <c r="H14" s="27" t="s">
        <v>21</v>
      </c>
      <c r="I14" s="12"/>
      <c r="K14" s="16"/>
      <c r="L14" s="16"/>
      <c r="M14" s="16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35" x14ac:dyDescent="0.2">
      <c r="A15" s="26" t="s">
        <v>22</v>
      </c>
      <c r="B15" s="34">
        <f>L12</f>
        <v>0</v>
      </c>
      <c r="C15" s="5">
        <f>O12</f>
        <v>0</v>
      </c>
      <c r="D15" s="5">
        <f>R12</f>
        <v>0</v>
      </c>
      <c r="E15" s="5">
        <f>U12</f>
        <v>0</v>
      </c>
      <c r="F15" s="5">
        <f>SUM(C15:E15)</f>
        <v>0</v>
      </c>
      <c r="G15" s="5">
        <f>MAX(F15-X12,0)</f>
        <v>0</v>
      </c>
      <c r="H15" s="2">
        <f>F15-G15</f>
        <v>0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AF15" s="17"/>
      <c r="AG15" s="17"/>
      <c r="AH15" s="17"/>
    </row>
    <row r="16" spans="1:35" x14ac:dyDescent="0.2">
      <c r="A16" s="26" t="s">
        <v>23</v>
      </c>
      <c r="B16" s="34">
        <f>M12</f>
        <v>0</v>
      </c>
      <c r="C16" s="5">
        <f>P12</f>
        <v>0</v>
      </c>
      <c r="D16" s="5">
        <f>S12</f>
        <v>0</v>
      </c>
      <c r="E16" s="5">
        <f>V12</f>
        <v>0</v>
      </c>
      <c r="F16" s="5">
        <f>SUM(C16:E16)</f>
        <v>0</v>
      </c>
      <c r="G16" s="5">
        <f>MAX(F16-Y12,0)</f>
        <v>0</v>
      </c>
      <c r="H16" s="2">
        <f>F16-G16</f>
        <v>0</v>
      </c>
    </row>
    <row r="17" spans="1:17" x14ac:dyDescent="0.2">
      <c r="A17" s="26" t="s">
        <v>24</v>
      </c>
      <c r="B17" s="34">
        <f>N12</f>
        <v>0</v>
      </c>
      <c r="C17" s="5">
        <f>Q12</f>
        <v>0</v>
      </c>
      <c r="D17" s="5">
        <f>T12</f>
        <v>0</v>
      </c>
      <c r="E17" s="5">
        <f>W12</f>
        <v>0</v>
      </c>
      <c r="F17" s="5">
        <f>SUM(C17:E17)</f>
        <v>0</v>
      </c>
      <c r="G17" s="5">
        <f>MAX(F17-Z12,0)</f>
        <v>0</v>
      </c>
      <c r="H17" s="2">
        <f>F17-G17</f>
        <v>0</v>
      </c>
    </row>
    <row r="18" spans="1:17" x14ac:dyDescent="0.2">
      <c r="A18" s="26" t="s">
        <v>25</v>
      </c>
      <c r="B18" s="35"/>
      <c r="C18" s="2">
        <f>SUM(C15:C17)</f>
        <v>0</v>
      </c>
      <c r="D18" s="2">
        <f>SUM(D15:D17)</f>
        <v>0</v>
      </c>
      <c r="E18" s="2">
        <f>SUM(E15:E17)</f>
        <v>0</v>
      </c>
      <c r="F18" s="2">
        <f>SUM(F15:F17)</f>
        <v>0</v>
      </c>
      <c r="G18" s="5">
        <f>SUM(G15:G17)</f>
        <v>0</v>
      </c>
      <c r="H18" s="2">
        <f>F18-G18</f>
        <v>0</v>
      </c>
    </row>
    <row r="20" spans="1:17" x14ac:dyDescent="0.2">
      <c r="A20" s="25" t="s">
        <v>60</v>
      </c>
      <c r="B20" s="25" t="s">
        <v>61</v>
      </c>
      <c r="C20" s="25" t="s">
        <v>62</v>
      </c>
      <c r="H20" s="40"/>
    </row>
    <row r="21" spans="1:17" ht="13.5" customHeight="1" x14ac:dyDescent="0.2">
      <c r="A21" s="25" t="s">
        <v>57</v>
      </c>
      <c r="B21" s="48">
        <f>330000+(350000*C12)</f>
        <v>330000</v>
      </c>
      <c r="C21" s="64">
        <f>IF(C12=0,0,IF(F12&lt;=B21,"○","×"))</f>
        <v>0</v>
      </c>
      <c r="H21" s="40"/>
    </row>
    <row r="22" spans="1:17" x14ac:dyDescent="0.2">
      <c r="F22" s="40"/>
      <c r="G22" s="40"/>
      <c r="H22" s="40"/>
      <c r="I22" s="40"/>
      <c r="J22" s="12"/>
      <c r="K22" s="7"/>
      <c r="L22" s="7"/>
      <c r="M22" s="7"/>
      <c r="N22" s="7"/>
      <c r="O22" s="4"/>
      <c r="P22" s="4"/>
      <c r="Q22" s="4"/>
    </row>
    <row r="23" spans="1:17" x14ac:dyDescent="0.2">
      <c r="A23" s="252" t="s">
        <v>4</v>
      </c>
      <c r="B23" s="253"/>
      <c r="C23" s="254"/>
      <c r="D23" s="11"/>
      <c r="E23" s="11"/>
      <c r="F23" s="40"/>
      <c r="G23" s="40"/>
      <c r="H23" s="40"/>
      <c r="I23" s="40"/>
      <c r="J23" s="19"/>
      <c r="K23" s="40"/>
      <c r="L23" s="40"/>
      <c r="M23" s="40"/>
      <c r="N23" s="40"/>
      <c r="O23" s="4"/>
      <c r="P23" s="4"/>
      <c r="Q23" s="4"/>
    </row>
    <row r="24" spans="1:17" x14ac:dyDescent="0.2">
      <c r="A24" s="248" t="s">
        <v>77</v>
      </c>
      <c r="B24" s="248"/>
      <c r="C24" s="46">
        <f>IF(AND(入力シート!G28&lt;&gt;0,入力シート!K28&lt;&gt;0,入力シート!N28&lt;&gt;0,入力シート!Q28&lt;&gt;0),CONCATENATE(,IF(入力シート!G28="昭和","S",IF(入力シート!G28="平成","H",IF(入力シート!G28="令和","R","エラー")))&amp;入力シート!K28&amp;"."&amp;入力シート!N28&amp;"."&amp;入力シート!Q28),0)</f>
        <v>0</v>
      </c>
      <c r="D24" s="47">
        <f>YEAR(C24)</f>
        <v>1900</v>
      </c>
      <c r="E24" s="47">
        <f>MONTH(C24)</f>
        <v>1</v>
      </c>
      <c r="F24" s="47">
        <f>DAY(C24)</f>
        <v>0</v>
      </c>
      <c r="G24" s="47">
        <f>IF(C24&lt;&gt;0,D24*10000+E24*100+F24,0)</f>
        <v>0</v>
      </c>
      <c r="H24" s="40"/>
      <c r="I24" s="40"/>
      <c r="J24" s="40"/>
      <c r="K24" s="40"/>
      <c r="L24" s="40"/>
      <c r="M24" s="40"/>
      <c r="O24" s="4"/>
      <c r="P24" s="4"/>
      <c r="Q24" s="4"/>
    </row>
    <row r="25" spans="1:17" x14ac:dyDescent="0.2">
      <c r="A25" s="248" t="s">
        <v>43</v>
      </c>
      <c r="B25" s="248"/>
      <c r="C25" s="3">
        <f>入力シート!T28</f>
        <v>0</v>
      </c>
      <c r="D25" s="28" t="s">
        <v>44</v>
      </c>
      <c r="E25" s="5">
        <f>H39</f>
        <v>0</v>
      </c>
      <c r="F25" s="49" t="s">
        <v>34</v>
      </c>
      <c r="G25" s="50"/>
      <c r="H25" s="50"/>
      <c r="I25" s="51" t="s">
        <v>35</v>
      </c>
      <c r="J25" s="52"/>
      <c r="K25" s="52"/>
      <c r="L25" s="51" t="s">
        <v>36</v>
      </c>
      <c r="M25" s="52"/>
      <c r="N25" s="49"/>
    </row>
    <row r="26" spans="1:17" x14ac:dyDescent="0.2">
      <c r="A26" s="248" t="s">
        <v>45</v>
      </c>
      <c r="B26" s="248"/>
      <c r="C26" s="3">
        <f>IF(AND(G24&gt;0,G24&lt;=(E3-65)*10000+101),入力シート!AA28,0)</f>
        <v>0</v>
      </c>
      <c r="D26" s="28" t="s">
        <v>44</v>
      </c>
      <c r="E26" s="5">
        <f>N32</f>
        <v>0</v>
      </c>
      <c r="F26" s="49" t="s">
        <v>37</v>
      </c>
      <c r="G26" s="50" t="s">
        <v>38</v>
      </c>
      <c r="H26" s="50" t="s">
        <v>1</v>
      </c>
      <c r="I26" s="53" t="s">
        <v>39</v>
      </c>
      <c r="J26" s="53" t="s">
        <v>91</v>
      </c>
      <c r="K26" s="53" t="s">
        <v>92</v>
      </c>
      <c r="L26" s="53" t="s">
        <v>39</v>
      </c>
      <c r="M26" s="53" t="s">
        <v>91</v>
      </c>
      <c r="N26" s="53" t="s">
        <v>92</v>
      </c>
    </row>
    <row r="27" spans="1:17" x14ac:dyDescent="0.2">
      <c r="A27" s="248" t="s">
        <v>46</v>
      </c>
      <c r="B27" s="248"/>
      <c r="C27" s="3">
        <f>IF(G24&gt;=(E3-65)*10000+102,入力シート!AA28,0)</f>
        <v>0</v>
      </c>
      <c r="D27" s="28" t="s">
        <v>44</v>
      </c>
      <c r="E27" s="5">
        <f>K32</f>
        <v>0</v>
      </c>
      <c r="F27" s="38">
        <v>0</v>
      </c>
      <c r="G27" s="39"/>
      <c r="H27" s="39"/>
      <c r="I27" s="39">
        <v>0</v>
      </c>
      <c r="J27" s="39" t="s">
        <v>40</v>
      </c>
      <c r="K27" s="39" t="s">
        <v>40</v>
      </c>
      <c r="L27" s="39">
        <v>0</v>
      </c>
      <c r="M27" s="39" t="s">
        <v>40</v>
      </c>
      <c r="N27" s="39" t="s">
        <v>40</v>
      </c>
    </row>
    <row r="28" spans="1:17" x14ac:dyDescent="0.2">
      <c r="A28" s="248" t="s">
        <v>3</v>
      </c>
      <c r="B28" s="248"/>
      <c r="C28" s="258">
        <f>入力シート!AH28</f>
        <v>0</v>
      </c>
      <c r="D28" s="258"/>
      <c r="E28" s="5">
        <f>C28</f>
        <v>0</v>
      </c>
      <c r="F28" s="56">
        <v>551000</v>
      </c>
      <c r="G28" s="57">
        <v>0</v>
      </c>
      <c r="H28" s="57">
        <f>IF(AND(C25&gt;=F27,C25&lt;F28),G28,"")</f>
        <v>0</v>
      </c>
      <c r="I28" s="57">
        <v>1300000</v>
      </c>
      <c r="J28" s="57">
        <f>MAX(C27-600000,0)</f>
        <v>0</v>
      </c>
      <c r="K28" s="57">
        <f>IF(AND(C27&gt;=I27,C27&lt;I28),J28,"")</f>
        <v>0</v>
      </c>
      <c r="L28" s="57">
        <v>3300000</v>
      </c>
      <c r="M28" s="57">
        <f>MAX(C26-1100000,0)</f>
        <v>0</v>
      </c>
      <c r="N28" s="57">
        <f>IF(AND(C26&gt;=L27,C26&lt;L28),M28,"")</f>
        <v>0</v>
      </c>
    </row>
    <row r="29" spans="1:17" x14ac:dyDescent="0.2">
      <c r="A29" s="269"/>
      <c r="B29" s="269"/>
      <c r="C29" s="20"/>
      <c r="D29" s="7"/>
      <c r="E29" s="21"/>
      <c r="F29" s="56">
        <v>1619000</v>
      </c>
      <c r="G29" s="57">
        <f>MAX(C25-550000,0)</f>
        <v>0</v>
      </c>
      <c r="H29" s="57" t="str">
        <f>IF(AND(C25&gt;=F28,C25&lt;F29),G29,"")</f>
        <v/>
      </c>
      <c r="I29" s="57">
        <v>4100000</v>
      </c>
      <c r="J29" s="57">
        <f>MAX(C27*0.75-275000,0)</f>
        <v>0</v>
      </c>
      <c r="K29" s="57" t="str">
        <f>IF(AND(C27&gt;=I28,C27&lt;I29),J29,"")</f>
        <v/>
      </c>
      <c r="L29" s="57">
        <v>4100000</v>
      </c>
      <c r="M29" s="57">
        <f>MAX(C26*0.75-275000,0)</f>
        <v>0</v>
      </c>
      <c r="N29" s="57" t="str">
        <f>IF(AND(C26&gt;=L28,C26&lt;L29),M29,"")</f>
        <v/>
      </c>
      <c r="O29" s="18"/>
      <c r="P29" s="18"/>
      <c r="Q29" s="18"/>
    </row>
    <row r="30" spans="1:17" x14ac:dyDescent="0.2">
      <c r="E30" s="6"/>
      <c r="F30" s="56">
        <v>1620000</v>
      </c>
      <c r="G30" s="57">
        <v>1069000</v>
      </c>
      <c r="H30" s="57" t="str">
        <f>IF(AND(C25&gt;=F29,C25&lt;F30),G30,"")</f>
        <v/>
      </c>
      <c r="I30" s="57">
        <v>7700000</v>
      </c>
      <c r="J30" s="57">
        <f>MAX(C27*0.85-685000,0)</f>
        <v>0</v>
      </c>
      <c r="K30" s="57" t="str">
        <f>IF(AND(C27&gt;=I29,C27&lt;I30),J30,"")</f>
        <v/>
      </c>
      <c r="L30" s="57">
        <v>7700000</v>
      </c>
      <c r="M30" s="57">
        <f>MAX(C26*0.85-685000,0)</f>
        <v>0</v>
      </c>
      <c r="N30" s="57" t="str">
        <f>IF(AND(C26&gt;=L29,C26&lt;L30),M30,"")</f>
        <v/>
      </c>
      <c r="O30" s="18"/>
      <c r="P30" s="18"/>
      <c r="Q30" s="18"/>
    </row>
    <row r="31" spans="1:17" x14ac:dyDescent="0.2">
      <c r="A31" s="249" t="s">
        <v>58</v>
      </c>
      <c r="B31" s="249"/>
      <c r="C31" s="249"/>
      <c r="D31" s="250">
        <f>SUM(E25:E28)-P39</f>
        <v>0</v>
      </c>
      <c r="E31" s="251"/>
      <c r="F31" s="56">
        <v>1622000</v>
      </c>
      <c r="G31" s="57">
        <v>1070000</v>
      </c>
      <c r="H31" s="57" t="str">
        <f>IF(AND(C25&gt;=F30,C25&lt;F31),G31,"")</f>
        <v/>
      </c>
      <c r="I31" s="58" t="s">
        <v>79</v>
      </c>
      <c r="J31" s="57">
        <f>MAX(C27*0.95-1455000,0)</f>
        <v>0</v>
      </c>
      <c r="K31" s="57" t="str">
        <f>IF(C27&gt;=I30,J31,"")</f>
        <v/>
      </c>
      <c r="L31" s="58" t="s">
        <v>79</v>
      </c>
      <c r="M31" s="57">
        <f>MAX(C26*0.95-1455000,0)</f>
        <v>0</v>
      </c>
      <c r="N31" s="57" t="str">
        <f>IF(C26&gt;=L30,M31,"")</f>
        <v/>
      </c>
      <c r="O31" s="18"/>
      <c r="P31" s="18"/>
      <c r="Q31" s="18"/>
    </row>
    <row r="32" spans="1:17" x14ac:dyDescent="0.2">
      <c r="A32" s="249" t="s">
        <v>56</v>
      </c>
      <c r="B32" s="249"/>
      <c r="C32" s="249"/>
      <c r="D32" s="250">
        <f>SUM(E25,IF(E26-150000&gt;0,E26-150000,0),E27,E28)</f>
        <v>0</v>
      </c>
      <c r="E32" s="251"/>
      <c r="F32" s="56">
        <v>1624000</v>
      </c>
      <c r="G32" s="57">
        <v>1072000</v>
      </c>
      <c r="H32" s="57" t="str">
        <f>IF(AND(C25&gt;=F31,C25&lt;F32),G32,"")</f>
        <v/>
      </c>
      <c r="I32" s="57"/>
      <c r="J32" s="59" t="s">
        <v>71</v>
      </c>
      <c r="K32" s="57">
        <f>SUM(K28:K31)</f>
        <v>0</v>
      </c>
      <c r="L32" s="57"/>
      <c r="M32" s="59" t="s">
        <v>41</v>
      </c>
      <c r="N32" s="57">
        <f>SUM(N28:N31)</f>
        <v>0</v>
      </c>
      <c r="O32" s="18"/>
      <c r="P32" s="18"/>
      <c r="Q32" s="18"/>
    </row>
    <row r="33" spans="1:17" x14ac:dyDescent="0.2">
      <c r="A33" s="1"/>
      <c r="B33" s="1"/>
      <c r="C33" s="1"/>
      <c r="E33" s="6"/>
      <c r="F33" s="56">
        <v>1628000</v>
      </c>
      <c r="G33" s="57">
        <v>1074000</v>
      </c>
      <c r="H33" s="57" t="str">
        <f>IF(AND(C25&gt;=F32,C25&lt;F33),G33,"")</f>
        <v/>
      </c>
      <c r="I33" s="57"/>
      <c r="J33" s="57"/>
      <c r="K33" s="57"/>
      <c r="L33" s="57"/>
      <c r="M33" s="57"/>
      <c r="N33" s="57"/>
      <c r="O33" s="18"/>
      <c r="P33" s="18"/>
      <c r="Q33" s="18"/>
    </row>
    <row r="34" spans="1:17" x14ac:dyDescent="0.2">
      <c r="E34" s="6"/>
      <c r="F34" s="56">
        <v>1800000</v>
      </c>
      <c r="G34" s="57">
        <f>ROUNDDOWN(C25/4000,0)*4000*0.6+100000</f>
        <v>100000</v>
      </c>
      <c r="H34" s="57" t="str">
        <f>IF(AND(C25&gt;=F33,C25&lt;F34),G34,"")</f>
        <v/>
      </c>
      <c r="I34" s="41"/>
      <c r="J34" s="41"/>
      <c r="K34" s="41"/>
      <c r="L34" s="41"/>
      <c r="M34" s="41"/>
      <c r="N34" s="41"/>
      <c r="O34" s="18"/>
      <c r="P34" s="18"/>
      <c r="Q34" s="18"/>
    </row>
    <row r="35" spans="1:17" x14ac:dyDescent="0.2">
      <c r="E35" s="6"/>
      <c r="F35" s="56">
        <v>3600000</v>
      </c>
      <c r="G35" s="57">
        <f>ROUNDDOWN(C25/4000,0)*4000*0.7-80000</f>
        <v>-80000</v>
      </c>
      <c r="H35" s="57" t="str">
        <f>IF(AND(C25&gt;=F34,C25&lt;F35),G35,"")</f>
        <v/>
      </c>
      <c r="I35" s="41"/>
      <c r="J35" s="41"/>
      <c r="K35" s="41"/>
      <c r="L35" s="41"/>
      <c r="M35" s="41"/>
      <c r="N35" s="41"/>
      <c r="O35" s="18"/>
      <c r="P35" s="18"/>
      <c r="Q35" s="18"/>
    </row>
    <row r="36" spans="1:17" x14ac:dyDescent="0.2">
      <c r="E36" s="6"/>
      <c r="F36" s="56">
        <v>6600000</v>
      </c>
      <c r="G36" s="57">
        <f>ROUNDDOWN(C25/4000,0)*4000*0.8-440000</f>
        <v>-440000</v>
      </c>
      <c r="H36" s="57" t="str">
        <f>IF(AND(C25&gt;=F35,C25&lt;F36),G36,"")</f>
        <v/>
      </c>
      <c r="I36" s="41"/>
      <c r="J36" s="41"/>
      <c r="K36" s="41"/>
      <c r="L36" s="41"/>
      <c r="M36" s="41"/>
      <c r="N36" s="41"/>
      <c r="O36" s="18"/>
      <c r="P36" s="18"/>
      <c r="Q36" s="18"/>
    </row>
    <row r="37" spans="1:17" x14ac:dyDescent="0.2">
      <c r="E37" s="6"/>
      <c r="F37" s="56">
        <v>8500000</v>
      </c>
      <c r="G37" s="57">
        <f>C25*0.9-1100000</f>
        <v>-1100000</v>
      </c>
      <c r="H37" s="57" t="str">
        <f>IF(AND(C25&gt;=F36,C25&lt;F37),G37,"")</f>
        <v/>
      </c>
      <c r="I37" s="41"/>
      <c r="J37" s="41"/>
      <c r="K37" s="41"/>
      <c r="L37" s="41"/>
      <c r="M37" s="41"/>
      <c r="N37" s="41"/>
      <c r="O37" s="18"/>
      <c r="P37" s="18"/>
      <c r="Q37" s="18"/>
    </row>
    <row r="38" spans="1:17" x14ac:dyDescent="0.2">
      <c r="E38" s="6"/>
      <c r="F38" s="58" t="s">
        <v>101</v>
      </c>
      <c r="G38" s="57">
        <f>C25-1950000</f>
        <v>-1950000</v>
      </c>
      <c r="H38" s="57" t="str">
        <f>IF(C25&gt;=F37,G38,"")</f>
        <v/>
      </c>
      <c r="I38" s="41"/>
      <c r="J38" s="41"/>
      <c r="K38" s="41"/>
      <c r="L38" s="41"/>
      <c r="M38" s="41"/>
      <c r="N38" s="41"/>
      <c r="O38" s="118" t="s">
        <v>102</v>
      </c>
      <c r="P38" s="118"/>
      <c r="Q38" s="4"/>
    </row>
    <row r="39" spans="1:17" x14ac:dyDescent="0.2">
      <c r="E39" s="6"/>
      <c r="F39" s="56"/>
      <c r="G39" s="59" t="s">
        <v>42</v>
      </c>
      <c r="H39" s="57">
        <f>SUM(H28:H38)</f>
        <v>0</v>
      </c>
      <c r="I39" s="41"/>
      <c r="J39" s="41"/>
      <c r="K39" s="41"/>
      <c r="L39" s="41"/>
      <c r="M39" s="41"/>
      <c r="N39" s="41"/>
      <c r="O39" s="119">
        <f>IF(H39&gt;100000,100000,H39)+IF((K32+N32)&gt;100000,100000,(K32+N32))-100000</f>
        <v>-100000</v>
      </c>
      <c r="P39" s="119">
        <f>IF(O39&lt;0,0,O39)</f>
        <v>0</v>
      </c>
      <c r="Q39" s="4"/>
    </row>
    <row r="40" spans="1:17" x14ac:dyDescent="0.2">
      <c r="F40" s="40"/>
      <c r="G40" s="40"/>
      <c r="H40" s="40"/>
      <c r="I40" s="40"/>
      <c r="J40" s="40"/>
      <c r="K40" s="40"/>
      <c r="L40" s="40"/>
      <c r="M40" s="40"/>
      <c r="N40" s="40"/>
      <c r="O40" s="4"/>
      <c r="P40" s="4"/>
      <c r="Q40" s="4"/>
    </row>
    <row r="41" spans="1:17" x14ac:dyDescent="0.2">
      <c r="F41" s="40"/>
      <c r="G41" s="40"/>
      <c r="H41" s="40"/>
      <c r="I41" s="40"/>
      <c r="J41" s="40"/>
      <c r="K41" s="40"/>
      <c r="L41" s="40"/>
      <c r="M41" s="40"/>
      <c r="N41" s="40"/>
      <c r="O41" s="4"/>
      <c r="P41" s="4"/>
      <c r="Q41" s="4"/>
    </row>
    <row r="42" spans="1:17" x14ac:dyDescent="0.2">
      <c r="A42" s="252" t="s">
        <v>50</v>
      </c>
      <c r="B42" s="253"/>
      <c r="C42" s="254"/>
      <c r="D42" s="11"/>
      <c r="E42" s="11"/>
      <c r="F42" s="40"/>
      <c r="G42" s="40"/>
      <c r="H42" s="40"/>
      <c r="I42" s="40"/>
      <c r="J42" s="40"/>
      <c r="K42" s="40"/>
      <c r="L42" s="40"/>
      <c r="M42" s="40"/>
      <c r="N42" s="40"/>
      <c r="O42" s="4"/>
      <c r="P42" s="4"/>
      <c r="Q42" s="4"/>
    </row>
    <row r="43" spans="1:17" x14ac:dyDescent="0.2">
      <c r="A43" s="248" t="s">
        <v>77</v>
      </c>
      <c r="B43" s="248"/>
      <c r="C43" s="46">
        <f>IF(AND(入力シート!G29&lt;&gt;0,入力シート!K29&lt;&gt;0,入力シート!N29&lt;&gt;0,入力シート!Q29&lt;&gt;0),CONCATENATE(,IF(入力シート!G29="昭和","S",IF(入力シート!G29="平成","H",IF(入力シート!G29="令和","R","エラー")))&amp;入力シート!K29&amp;"."&amp;入力シート!N29&amp;"."&amp;入力シート!Q29),0)</f>
        <v>0</v>
      </c>
      <c r="D43" s="47">
        <f>YEAR(C43)</f>
        <v>1900</v>
      </c>
      <c r="E43" s="47">
        <f>MONTH(C43)</f>
        <v>1</v>
      </c>
      <c r="F43" s="47">
        <f>DAY(C43)</f>
        <v>0</v>
      </c>
      <c r="G43" s="47">
        <f>IF(C43&lt;&gt;0,D43*10000+E43*100+F43,0)</f>
        <v>0</v>
      </c>
      <c r="H43" s="40"/>
      <c r="I43" s="40"/>
      <c r="J43" s="40"/>
      <c r="K43" s="40"/>
      <c r="L43" s="40"/>
      <c r="M43" s="40"/>
      <c r="O43" s="4"/>
      <c r="P43" s="4"/>
      <c r="Q43" s="4"/>
    </row>
    <row r="44" spans="1:17" x14ac:dyDescent="0.2">
      <c r="A44" s="248" t="s">
        <v>43</v>
      </c>
      <c r="B44" s="248"/>
      <c r="C44" s="3">
        <f>入力シート!T29</f>
        <v>0</v>
      </c>
      <c r="D44" s="28" t="s">
        <v>44</v>
      </c>
      <c r="E44" s="5">
        <f>H58</f>
        <v>0</v>
      </c>
      <c r="F44" s="49" t="s">
        <v>34</v>
      </c>
      <c r="G44" s="50"/>
      <c r="H44" s="50"/>
      <c r="I44" s="51" t="s">
        <v>35</v>
      </c>
      <c r="J44" s="52"/>
      <c r="K44" s="52"/>
      <c r="L44" s="51" t="s">
        <v>36</v>
      </c>
      <c r="M44" s="52"/>
      <c r="N44" s="49"/>
    </row>
    <row r="45" spans="1:17" x14ac:dyDescent="0.2">
      <c r="A45" s="248" t="s">
        <v>45</v>
      </c>
      <c r="B45" s="248"/>
      <c r="C45" s="3">
        <f>IF(AND(G43&gt;0,G43&lt;=(E3-65)*10000+101),入力シート!AA29,0)</f>
        <v>0</v>
      </c>
      <c r="D45" s="28" t="s">
        <v>44</v>
      </c>
      <c r="E45" s="5">
        <f>N51</f>
        <v>0</v>
      </c>
      <c r="F45" s="49" t="s">
        <v>37</v>
      </c>
      <c r="G45" s="50" t="s">
        <v>38</v>
      </c>
      <c r="H45" s="50" t="s">
        <v>1</v>
      </c>
      <c r="I45" s="53" t="s">
        <v>39</v>
      </c>
      <c r="J45" s="53" t="s">
        <v>91</v>
      </c>
      <c r="K45" s="53" t="s">
        <v>92</v>
      </c>
      <c r="L45" s="53" t="s">
        <v>39</v>
      </c>
      <c r="M45" s="53" t="s">
        <v>91</v>
      </c>
      <c r="N45" s="53" t="s">
        <v>92</v>
      </c>
    </row>
    <row r="46" spans="1:17" x14ac:dyDescent="0.2">
      <c r="A46" s="248" t="s">
        <v>46</v>
      </c>
      <c r="B46" s="248"/>
      <c r="C46" s="3">
        <f>IF(G43&gt;=(E3-65)*10000+102,入力シート!AA29,0)</f>
        <v>0</v>
      </c>
      <c r="D46" s="28" t="s">
        <v>44</v>
      </c>
      <c r="E46" s="5">
        <f>K51</f>
        <v>0</v>
      </c>
      <c r="F46" s="38">
        <v>0</v>
      </c>
      <c r="G46" s="39"/>
      <c r="H46" s="39"/>
      <c r="I46" s="39">
        <v>0</v>
      </c>
      <c r="J46" s="39" t="s">
        <v>40</v>
      </c>
      <c r="K46" s="39" t="s">
        <v>40</v>
      </c>
      <c r="L46" s="39">
        <v>0</v>
      </c>
      <c r="M46" s="39" t="s">
        <v>40</v>
      </c>
      <c r="N46" s="39" t="s">
        <v>40</v>
      </c>
    </row>
    <row r="47" spans="1:17" x14ac:dyDescent="0.2">
      <c r="A47" s="248" t="s">
        <v>3</v>
      </c>
      <c r="B47" s="248"/>
      <c r="C47" s="258">
        <f>入力シート!AH29</f>
        <v>0</v>
      </c>
      <c r="D47" s="258"/>
      <c r="E47" s="5">
        <f>C47</f>
        <v>0</v>
      </c>
      <c r="F47" s="56">
        <v>551000</v>
      </c>
      <c r="G47" s="57">
        <v>0</v>
      </c>
      <c r="H47" s="57">
        <f>IF(AND(C44&gt;=F46,C44&lt;F47),G47,"")</f>
        <v>0</v>
      </c>
      <c r="I47" s="57">
        <v>1300000</v>
      </c>
      <c r="J47" s="57">
        <f>MAX(C46-600000,0)</f>
        <v>0</v>
      </c>
      <c r="K47" s="57">
        <f>IF(AND(C46&gt;=I46,C46&lt;I47),J47,"")</f>
        <v>0</v>
      </c>
      <c r="L47" s="57">
        <v>3300000</v>
      </c>
      <c r="M47" s="57">
        <f>MAX(C45-1100000,0)</f>
        <v>0</v>
      </c>
      <c r="N47" s="57">
        <f>IF(AND(C45&gt;=L46,C45&lt;L47),M47,"")</f>
        <v>0</v>
      </c>
    </row>
    <row r="48" spans="1:17" x14ac:dyDescent="0.2">
      <c r="A48" s="269"/>
      <c r="B48" s="269"/>
      <c r="C48" s="20"/>
      <c r="D48" s="7"/>
      <c r="E48" s="21"/>
      <c r="F48" s="56">
        <v>1619000</v>
      </c>
      <c r="G48" s="57">
        <f>MAX(C44-550000,0)</f>
        <v>0</v>
      </c>
      <c r="H48" s="57" t="str">
        <f>IF(AND(C44&gt;=F47,C44&lt;F48),G48,"")</f>
        <v/>
      </c>
      <c r="I48" s="57">
        <v>4100000</v>
      </c>
      <c r="J48" s="57">
        <f>MAX(C46*0.75-275000,0)</f>
        <v>0</v>
      </c>
      <c r="K48" s="57" t="str">
        <f>IF(AND(C46&gt;=I47,C46&lt;I48),J48,"")</f>
        <v/>
      </c>
      <c r="L48" s="57">
        <v>4100000</v>
      </c>
      <c r="M48" s="57">
        <f>MAX(C45*0.75-275000,0)</f>
        <v>0</v>
      </c>
      <c r="N48" s="57" t="str">
        <f>IF(AND(C45&gt;=L47,C45&lt;L48),M48,"")</f>
        <v/>
      </c>
      <c r="O48" s="18"/>
      <c r="P48" s="18"/>
      <c r="Q48" s="18"/>
    </row>
    <row r="49" spans="1:17" x14ac:dyDescent="0.2">
      <c r="E49" s="6"/>
      <c r="F49" s="56">
        <v>1620000</v>
      </c>
      <c r="G49" s="57">
        <v>1069000</v>
      </c>
      <c r="H49" s="57" t="str">
        <f>IF(AND(C44&gt;=F48,C44&lt;F49),G49,"")</f>
        <v/>
      </c>
      <c r="I49" s="57">
        <v>7700000</v>
      </c>
      <c r="J49" s="57">
        <f>MAX(C46*0.85-685000,0)</f>
        <v>0</v>
      </c>
      <c r="K49" s="57" t="str">
        <f>IF(AND(C46&gt;=I48,C46&lt;I49),J49,"")</f>
        <v/>
      </c>
      <c r="L49" s="57">
        <v>7700000</v>
      </c>
      <c r="M49" s="57">
        <f>MAX(C45*0.85-685000,0)</f>
        <v>0</v>
      </c>
      <c r="N49" s="57" t="str">
        <f>IF(AND(C45&gt;=L48,C45&lt;L49),M49,"")</f>
        <v/>
      </c>
      <c r="O49" s="18"/>
      <c r="P49" s="18"/>
      <c r="Q49" s="18"/>
    </row>
    <row r="50" spans="1:17" x14ac:dyDescent="0.2">
      <c r="A50" s="249" t="s">
        <v>58</v>
      </c>
      <c r="B50" s="249"/>
      <c r="C50" s="249"/>
      <c r="D50" s="250">
        <f>SUM(E44:E47)-P58</f>
        <v>0</v>
      </c>
      <c r="E50" s="251"/>
      <c r="F50" s="56">
        <v>1622000</v>
      </c>
      <c r="G50" s="57">
        <v>1070000</v>
      </c>
      <c r="H50" s="57" t="str">
        <f>IF(AND(C44&gt;=F49,C44&lt;F50),G50,"")</f>
        <v/>
      </c>
      <c r="I50" s="58" t="s">
        <v>79</v>
      </c>
      <c r="J50" s="57">
        <f>MAX(C46*0.95-1455000,0)</f>
        <v>0</v>
      </c>
      <c r="K50" s="57" t="str">
        <f>IF(C46&gt;=I49,J50,"")</f>
        <v/>
      </c>
      <c r="L50" s="58" t="s">
        <v>79</v>
      </c>
      <c r="M50" s="57">
        <f>MAX(C45*0.95-1455000,0)</f>
        <v>0</v>
      </c>
      <c r="N50" s="57" t="str">
        <f>IF(C45&gt;=L49,M50,"")</f>
        <v/>
      </c>
      <c r="O50" s="18"/>
      <c r="P50" s="18"/>
      <c r="Q50" s="18"/>
    </row>
    <row r="51" spans="1:17" x14ac:dyDescent="0.2">
      <c r="A51" s="249" t="s">
        <v>56</v>
      </c>
      <c r="B51" s="249"/>
      <c r="C51" s="249"/>
      <c r="D51" s="250">
        <f>SUM(E44,IF(E45-150000&gt;0,E45-150000,0),E46,E47)</f>
        <v>0</v>
      </c>
      <c r="E51" s="251"/>
      <c r="F51" s="56">
        <v>1624000</v>
      </c>
      <c r="G51" s="57">
        <v>1072000</v>
      </c>
      <c r="H51" s="57" t="str">
        <f>IF(AND(C44&gt;=F50,C44&lt;F51),G51,"")</f>
        <v/>
      </c>
      <c r="I51" s="57"/>
      <c r="J51" s="59" t="s">
        <v>48</v>
      </c>
      <c r="K51" s="57">
        <f>SUM(K47:K50)</f>
        <v>0</v>
      </c>
      <c r="L51" s="57"/>
      <c r="M51" s="59" t="s">
        <v>41</v>
      </c>
      <c r="N51" s="57">
        <f>SUM(N47:N50)</f>
        <v>0</v>
      </c>
      <c r="O51" s="18"/>
      <c r="P51" s="18"/>
      <c r="Q51" s="18"/>
    </row>
    <row r="52" spans="1:17" x14ac:dyDescent="0.2">
      <c r="E52" s="6"/>
      <c r="F52" s="56">
        <v>1628000</v>
      </c>
      <c r="G52" s="57">
        <v>1074000</v>
      </c>
      <c r="H52" s="57" t="str">
        <f>IF(AND(C44&gt;=F51,C44&lt;F52),G52,"")</f>
        <v/>
      </c>
      <c r="I52" s="57"/>
      <c r="J52" s="57"/>
      <c r="K52" s="57"/>
      <c r="L52" s="57"/>
      <c r="M52" s="57"/>
      <c r="N52" s="57"/>
      <c r="O52" s="18"/>
      <c r="P52" s="18"/>
      <c r="Q52" s="18"/>
    </row>
    <row r="53" spans="1:17" x14ac:dyDescent="0.2">
      <c r="E53" s="6"/>
      <c r="F53" s="56">
        <v>1800000</v>
      </c>
      <c r="G53" s="57">
        <f>ROUNDDOWN(C44/4000,0)*4000*0.6+100000</f>
        <v>100000</v>
      </c>
      <c r="H53" s="57" t="str">
        <f>IF(AND(C44&gt;=F52,C44&lt;F53),G53,"")</f>
        <v/>
      </c>
      <c r="I53" s="41"/>
      <c r="J53" s="41"/>
      <c r="K53" s="41"/>
      <c r="L53" s="41"/>
      <c r="M53" s="41"/>
      <c r="N53" s="41"/>
      <c r="O53" s="18"/>
      <c r="P53" s="18"/>
      <c r="Q53" s="18"/>
    </row>
    <row r="54" spans="1:17" x14ac:dyDescent="0.2">
      <c r="E54" s="6"/>
      <c r="F54" s="56">
        <v>3600000</v>
      </c>
      <c r="G54" s="57">
        <f>ROUNDDOWN(C44/4000,0)*4000*0.7-80000</f>
        <v>-80000</v>
      </c>
      <c r="H54" s="57" t="str">
        <f>IF(AND(C44&gt;=F53,C44&lt;F54),G54,"")</f>
        <v/>
      </c>
      <c r="I54" s="41"/>
      <c r="J54" s="41"/>
      <c r="K54" s="41"/>
      <c r="L54" s="41"/>
      <c r="M54" s="41"/>
      <c r="N54" s="41"/>
      <c r="O54" s="18"/>
      <c r="P54" s="18"/>
      <c r="Q54" s="18"/>
    </row>
    <row r="55" spans="1:17" x14ac:dyDescent="0.2">
      <c r="E55" s="6"/>
      <c r="F55" s="56">
        <v>6600000</v>
      </c>
      <c r="G55" s="57">
        <f>ROUNDDOWN(C44/4000,0)*4000*0.8-440000</f>
        <v>-440000</v>
      </c>
      <c r="H55" s="57" t="str">
        <f>IF(AND(C44&gt;=F54,C44&lt;F55),G55,"")</f>
        <v/>
      </c>
      <c r="I55" s="41"/>
      <c r="J55" s="41"/>
      <c r="K55" s="41"/>
      <c r="L55" s="41"/>
      <c r="M55" s="41"/>
      <c r="N55" s="41"/>
      <c r="O55" s="18"/>
      <c r="P55" s="18"/>
      <c r="Q55" s="18"/>
    </row>
    <row r="56" spans="1:17" x14ac:dyDescent="0.2">
      <c r="E56" s="6"/>
      <c r="F56" s="56">
        <v>8500000</v>
      </c>
      <c r="G56" s="57">
        <f>C44*0.9-1100000</f>
        <v>-1100000</v>
      </c>
      <c r="H56" s="57" t="str">
        <f>IF(AND(C44&gt;=F55,C44&lt;F56),G56,"")</f>
        <v/>
      </c>
      <c r="I56" s="41"/>
      <c r="J56" s="41"/>
      <c r="K56" s="41"/>
      <c r="L56" s="41"/>
      <c r="M56" s="41"/>
      <c r="N56" s="41"/>
      <c r="O56" s="18"/>
      <c r="P56" s="18"/>
      <c r="Q56" s="18"/>
    </row>
    <row r="57" spans="1:17" x14ac:dyDescent="0.2">
      <c r="E57" s="6"/>
      <c r="F57" s="58" t="s">
        <v>100</v>
      </c>
      <c r="G57" s="57">
        <f>C44-1950000</f>
        <v>-1950000</v>
      </c>
      <c r="H57" s="57" t="str">
        <f>IF(C44&gt;=F56,G57,"")</f>
        <v/>
      </c>
      <c r="I57" s="41"/>
      <c r="J57" s="41"/>
      <c r="K57" s="41"/>
      <c r="L57" s="41"/>
      <c r="M57" s="41"/>
      <c r="N57" s="41"/>
      <c r="O57" s="118" t="s">
        <v>102</v>
      </c>
      <c r="P57" s="118"/>
      <c r="Q57" s="4"/>
    </row>
    <row r="58" spans="1:17" x14ac:dyDescent="0.2">
      <c r="E58" s="6"/>
      <c r="F58" s="56"/>
      <c r="G58" s="59" t="s">
        <v>42</v>
      </c>
      <c r="H58" s="57">
        <f>SUM(H47:H57)</f>
        <v>0</v>
      </c>
      <c r="I58" s="41"/>
      <c r="J58" s="41"/>
      <c r="K58" s="41"/>
      <c r="L58" s="41"/>
      <c r="M58" s="41"/>
      <c r="N58" s="41"/>
      <c r="O58" s="119">
        <f>IF(H58&gt;100000,100000,H58)+IF((K51+N51)&gt;100000,100000,(K51+N51))-100000</f>
        <v>-100000</v>
      </c>
      <c r="P58" s="119">
        <f>IF(O58&lt;0,0,O58)</f>
        <v>0</v>
      </c>
      <c r="Q58" s="4"/>
    </row>
    <row r="59" spans="1:17" x14ac:dyDescent="0.2">
      <c r="F59" s="40"/>
      <c r="G59" s="40"/>
      <c r="H59" s="40"/>
      <c r="I59" s="40"/>
      <c r="J59" s="40"/>
      <c r="K59" s="40"/>
      <c r="L59" s="40"/>
      <c r="M59" s="40"/>
      <c r="N59" s="40"/>
      <c r="O59" s="4"/>
      <c r="P59" s="4"/>
      <c r="Q59" s="4"/>
    </row>
    <row r="60" spans="1:17" x14ac:dyDescent="0.2">
      <c r="F60" s="40"/>
      <c r="G60" s="40"/>
      <c r="H60" s="40"/>
      <c r="I60" s="40"/>
      <c r="J60" s="40"/>
      <c r="K60" s="40"/>
      <c r="L60" s="40"/>
      <c r="M60" s="40"/>
      <c r="N60" s="40"/>
      <c r="O60" s="4"/>
      <c r="P60" s="4"/>
      <c r="Q60" s="4"/>
    </row>
    <row r="61" spans="1:17" x14ac:dyDescent="0.2">
      <c r="A61" s="252" t="s">
        <v>6</v>
      </c>
      <c r="B61" s="253"/>
      <c r="C61" s="270"/>
      <c r="D61" s="33"/>
      <c r="E61" s="11"/>
      <c r="F61" s="40"/>
      <c r="G61" s="40"/>
      <c r="H61" s="40"/>
      <c r="I61" s="40"/>
      <c r="J61" s="40"/>
      <c r="K61" s="40"/>
      <c r="L61" s="40"/>
      <c r="M61" s="40"/>
      <c r="N61" s="40"/>
      <c r="O61" s="4"/>
      <c r="P61" s="4"/>
      <c r="Q61" s="4"/>
    </row>
    <row r="62" spans="1:17" x14ac:dyDescent="0.2">
      <c r="A62" s="248" t="s">
        <v>77</v>
      </c>
      <c r="B62" s="248"/>
      <c r="C62" s="46">
        <f>IF(AND(入力シート!G30&lt;&gt;0,入力シート!K30&lt;&gt;0,入力シート!N30&lt;&gt;0,入力シート!Q30&lt;&gt;0),CONCATENATE(,IF(入力シート!G30="昭和","S",IF(入力シート!G30="平成","H",IF(入力シート!G30="令和","R","エラー")))&amp;入力シート!K30&amp;"."&amp;入力シート!N30&amp;"."&amp;入力シート!Q30),0)</f>
        <v>0</v>
      </c>
      <c r="D62" s="47">
        <f>YEAR(C62)</f>
        <v>1900</v>
      </c>
      <c r="E62" s="47">
        <f>MONTH(C62)</f>
        <v>1</v>
      </c>
      <c r="F62" s="47">
        <f>DAY(C62)</f>
        <v>0</v>
      </c>
      <c r="G62" s="47">
        <f>IF(C62&lt;&gt;0,D62*10000+E62*100+F62,0)</f>
        <v>0</v>
      </c>
      <c r="H62" s="40"/>
      <c r="I62" s="40"/>
      <c r="J62" s="40"/>
      <c r="K62" s="40"/>
      <c r="L62" s="40"/>
      <c r="M62" s="40"/>
      <c r="O62" s="4"/>
      <c r="P62" s="4"/>
      <c r="Q62" s="4"/>
    </row>
    <row r="63" spans="1:17" x14ac:dyDescent="0.2">
      <c r="A63" s="248" t="s">
        <v>43</v>
      </c>
      <c r="B63" s="248"/>
      <c r="C63" s="3">
        <f>入力シート!T30</f>
        <v>0</v>
      </c>
      <c r="D63" s="28" t="s">
        <v>44</v>
      </c>
      <c r="E63" s="5">
        <f>H77</f>
        <v>0</v>
      </c>
      <c r="F63" s="49" t="s">
        <v>34</v>
      </c>
      <c r="G63" s="50"/>
      <c r="H63" s="50"/>
      <c r="I63" s="51" t="s">
        <v>35</v>
      </c>
      <c r="J63" s="52"/>
      <c r="K63" s="52"/>
      <c r="L63" s="51" t="s">
        <v>36</v>
      </c>
      <c r="M63" s="52"/>
      <c r="N63" s="49"/>
    </row>
    <row r="64" spans="1:17" x14ac:dyDescent="0.2">
      <c r="A64" s="248" t="s">
        <v>45</v>
      </c>
      <c r="B64" s="248"/>
      <c r="C64" s="3">
        <f>IF(AND(G62&gt;0,G62&lt;=(E3-65)*10000+101),入力シート!AA30,0)</f>
        <v>0</v>
      </c>
      <c r="D64" s="28" t="s">
        <v>44</v>
      </c>
      <c r="E64" s="5">
        <f>N70</f>
        <v>0</v>
      </c>
      <c r="F64" s="49" t="s">
        <v>37</v>
      </c>
      <c r="G64" s="50" t="s">
        <v>38</v>
      </c>
      <c r="H64" s="50" t="s">
        <v>1</v>
      </c>
      <c r="I64" s="53" t="s">
        <v>39</v>
      </c>
      <c r="J64" s="53" t="s">
        <v>91</v>
      </c>
      <c r="K64" s="53" t="s">
        <v>92</v>
      </c>
      <c r="L64" s="53" t="s">
        <v>39</v>
      </c>
      <c r="M64" s="53" t="s">
        <v>91</v>
      </c>
      <c r="N64" s="53" t="s">
        <v>92</v>
      </c>
    </row>
    <row r="65" spans="1:17" x14ac:dyDescent="0.2">
      <c r="A65" s="248" t="s">
        <v>46</v>
      </c>
      <c r="B65" s="248"/>
      <c r="C65" s="3">
        <f>IF(G62&gt;=(E3-65)*10000+102,入力シート!AA30,0)</f>
        <v>0</v>
      </c>
      <c r="D65" s="28" t="s">
        <v>44</v>
      </c>
      <c r="E65" s="5">
        <f>K70</f>
        <v>0</v>
      </c>
      <c r="F65" s="56">
        <v>0</v>
      </c>
      <c r="G65" s="57"/>
      <c r="H65" s="57"/>
      <c r="I65" s="57">
        <v>0</v>
      </c>
      <c r="J65" s="57" t="s">
        <v>40</v>
      </c>
      <c r="K65" s="57" t="s">
        <v>40</v>
      </c>
      <c r="L65" s="57">
        <v>0</v>
      </c>
      <c r="M65" s="57" t="s">
        <v>40</v>
      </c>
      <c r="N65" s="57" t="s">
        <v>40</v>
      </c>
    </row>
    <row r="66" spans="1:17" x14ac:dyDescent="0.2">
      <c r="A66" s="248" t="s">
        <v>3</v>
      </c>
      <c r="B66" s="248"/>
      <c r="C66" s="258">
        <f>入力シート!AH30</f>
        <v>0</v>
      </c>
      <c r="D66" s="258"/>
      <c r="E66" s="5">
        <f>C66</f>
        <v>0</v>
      </c>
      <c r="F66" s="56">
        <v>551000</v>
      </c>
      <c r="G66" s="57">
        <v>0</v>
      </c>
      <c r="H66" s="57">
        <f>IF(AND(C63&gt;=F65,C63&lt;F66),G66,"")</f>
        <v>0</v>
      </c>
      <c r="I66" s="57">
        <v>1300000</v>
      </c>
      <c r="J66" s="57">
        <f>MAX(C65-600000,0)</f>
        <v>0</v>
      </c>
      <c r="K66" s="57">
        <f>IF(AND(C65&gt;=I65,C65&lt;I66),J66,"")</f>
        <v>0</v>
      </c>
      <c r="L66" s="57">
        <v>3300000</v>
      </c>
      <c r="M66" s="57">
        <f>MAX(C64-1100000,0)</f>
        <v>0</v>
      </c>
      <c r="N66" s="57">
        <f>IF(AND(C64&gt;=L65,C64&lt;L66),M66,"")</f>
        <v>0</v>
      </c>
    </row>
    <row r="67" spans="1:17" x14ac:dyDescent="0.2">
      <c r="A67" s="269"/>
      <c r="B67" s="269"/>
      <c r="C67" s="20"/>
      <c r="D67" s="7"/>
      <c r="E67" s="21"/>
      <c r="F67" s="56">
        <v>1619000</v>
      </c>
      <c r="G67" s="57">
        <f>MAX(C63-550000,0)</f>
        <v>0</v>
      </c>
      <c r="H67" s="57" t="str">
        <f>IF(AND(C63&gt;=F66,C63&lt;F67),G67,"")</f>
        <v/>
      </c>
      <c r="I67" s="57">
        <v>4100000</v>
      </c>
      <c r="J67" s="57">
        <f>MAX(C65*0.75-275000,0)</f>
        <v>0</v>
      </c>
      <c r="K67" s="57" t="str">
        <f>IF(AND(C65&gt;=I66,C65&lt;I67),J67,"")</f>
        <v/>
      </c>
      <c r="L67" s="57">
        <v>4100000</v>
      </c>
      <c r="M67" s="57">
        <f>MAX(C64*0.75-275000,0)</f>
        <v>0</v>
      </c>
      <c r="N67" s="57" t="str">
        <f>IF(AND(C64&gt;=L66,C64&lt;L67),M67,"")</f>
        <v/>
      </c>
      <c r="O67" s="18"/>
      <c r="P67" s="18"/>
      <c r="Q67" s="18"/>
    </row>
    <row r="68" spans="1:17" x14ac:dyDescent="0.2">
      <c r="E68" s="6"/>
      <c r="F68" s="56">
        <v>1620000</v>
      </c>
      <c r="G68" s="57">
        <v>1069000</v>
      </c>
      <c r="H68" s="57" t="str">
        <f>IF(AND(C63&gt;=F67,C63&lt;F68),G68,"")</f>
        <v/>
      </c>
      <c r="I68" s="57">
        <v>7700000</v>
      </c>
      <c r="J68" s="57">
        <f>MAX(C65*0.85-685000,0)</f>
        <v>0</v>
      </c>
      <c r="K68" s="57" t="str">
        <f>IF(AND(C65&gt;=I67,C65&lt;I68),J68,"")</f>
        <v/>
      </c>
      <c r="L68" s="57">
        <v>7700000</v>
      </c>
      <c r="M68" s="57">
        <f>MAX(C64*0.85-685000,0)</f>
        <v>0</v>
      </c>
      <c r="N68" s="57" t="str">
        <f>IF(AND(C64&gt;=L67,C64&lt;L68),M68,"")</f>
        <v/>
      </c>
      <c r="O68" s="18"/>
      <c r="P68" s="18"/>
      <c r="Q68" s="18"/>
    </row>
    <row r="69" spans="1:17" x14ac:dyDescent="0.2">
      <c r="A69" s="249" t="s">
        <v>58</v>
      </c>
      <c r="B69" s="249"/>
      <c r="C69" s="249"/>
      <c r="D69" s="250">
        <f>SUM(E63:E66)-P77</f>
        <v>0</v>
      </c>
      <c r="E69" s="251"/>
      <c r="F69" s="56">
        <v>1622000</v>
      </c>
      <c r="G69" s="57">
        <v>1070000</v>
      </c>
      <c r="H69" s="57" t="str">
        <f>IF(AND(C63&gt;=F68,C63&lt;F69),G69,"")</f>
        <v/>
      </c>
      <c r="I69" s="58" t="s">
        <v>79</v>
      </c>
      <c r="J69" s="57">
        <f>MAX(C65*0.95-1455000,0)</f>
        <v>0</v>
      </c>
      <c r="K69" s="57" t="str">
        <f>IF(C65&gt;=I68,J69,"")</f>
        <v/>
      </c>
      <c r="L69" s="58" t="s">
        <v>79</v>
      </c>
      <c r="M69" s="57">
        <f>MAX(C64*0.95-1455000,0)</f>
        <v>0</v>
      </c>
      <c r="N69" s="57" t="str">
        <f>IF(C64&gt;=L68,M69,"")</f>
        <v/>
      </c>
      <c r="O69" s="18"/>
      <c r="P69" s="18"/>
      <c r="Q69" s="18"/>
    </row>
    <row r="70" spans="1:17" x14ac:dyDescent="0.2">
      <c r="A70" s="249" t="s">
        <v>56</v>
      </c>
      <c r="B70" s="249"/>
      <c r="C70" s="249"/>
      <c r="D70" s="250">
        <f>SUM(E63,IF(E64-150000&gt;0,E64-150000,0),E65,E66)</f>
        <v>0</v>
      </c>
      <c r="E70" s="251"/>
      <c r="F70" s="56">
        <v>1624000</v>
      </c>
      <c r="G70" s="57">
        <v>1072000</v>
      </c>
      <c r="H70" s="57" t="str">
        <f>IF(AND(C63&gt;=F69,C63&lt;F70),G70,"")</f>
        <v/>
      </c>
      <c r="I70" s="57"/>
      <c r="J70" s="59" t="s">
        <v>48</v>
      </c>
      <c r="K70" s="57">
        <f>SUM(K66:K69)</f>
        <v>0</v>
      </c>
      <c r="L70" s="57"/>
      <c r="M70" s="59" t="s">
        <v>41</v>
      </c>
      <c r="N70" s="57">
        <f>SUM(N66:N69)</f>
        <v>0</v>
      </c>
      <c r="O70" s="18"/>
      <c r="P70" s="18"/>
      <c r="Q70" s="18"/>
    </row>
    <row r="71" spans="1:17" x14ac:dyDescent="0.2">
      <c r="E71" s="6"/>
      <c r="F71" s="56">
        <v>1628000</v>
      </c>
      <c r="G71" s="57">
        <v>1074000</v>
      </c>
      <c r="H71" s="57" t="str">
        <f>IF(AND(C63&gt;=F70,C63&lt;F71),G71,"")</f>
        <v/>
      </c>
      <c r="I71" s="57"/>
      <c r="J71" s="57"/>
      <c r="K71" s="57"/>
      <c r="L71" s="57"/>
      <c r="M71" s="57"/>
      <c r="N71" s="57"/>
      <c r="O71" s="18"/>
      <c r="P71" s="18"/>
      <c r="Q71" s="18"/>
    </row>
    <row r="72" spans="1:17" x14ac:dyDescent="0.2">
      <c r="E72" s="6"/>
      <c r="F72" s="56">
        <v>1800000</v>
      </c>
      <c r="G72" s="57">
        <f>ROUNDDOWN(C63/4000,0)*4000*0.6+100000</f>
        <v>100000</v>
      </c>
      <c r="H72" s="57" t="str">
        <f>IF(AND(C63&gt;=F71,C63&lt;F72),G72,"")</f>
        <v/>
      </c>
      <c r="I72" s="41"/>
      <c r="J72" s="41"/>
      <c r="K72" s="41"/>
      <c r="L72" s="41"/>
      <c r="M72" s="41"/>
      <c r="N72" s="41"/>
      <c r="O72" s="18"/>
      <c r="P72" s="18"/>
      <c r="Q72" s="18"/>
    </row>
    <row r="73" spans="1:17" x14ac:dyDescent="0.2">
      <c r="E73" s="6"/>
      <c r="F73" s="56">
        <v>3600000</v>
      </c>
      <c r="G73" s="57">
        <f>ROUNDDOWN(C63/4000,0)*4000*0.7-80000</f>
        <v>-80000</v>
      </c>
      <c r="H73" s="57" t="str">
        <f>IF(AND(C63&gt;=F72,C63&lt;F73),G73,"")</f>
        <v/>
      </c>
      <c r="I73" s="41"/>
      <c r="J73" s="41"/>
      <c r="K73" s="41"/>
      <c r="L73" s="41"/>
      <c r="M73" s="41"/>
      <c r="N73" s="41"/>
      <c r="O73" s="18"/>
      <c r="P73" s="18"/>
      <c r="Q73" s="18"/>
    </row>
    <row r="74" spans="1:17" x14ac:dyDescent="0.2">
      <c r="E74" s="6"/>
      <c r="F74" s="56">
        <v>6600000</v>
      </c>
      <c r="G74" s="57">
        <f>ROUNDDOWN(C63/4000,0)*4000*0.8-440000</f>
        <v>-440000</v>
      </c>
      <c r="H74" s="57" t="str">
        <f>IF(AND(C63&gt;=F73,C63&lt;F74),G74,"")</f>
        <v/>
      </c>
      <c r="I74" s="41"/>
      <c r="J74" s="41"/>
      <c r="K74" s="41"/>
      <c r="L74" s="41"/>
      <c r="M74" s="41"/>
      <c r="N74" s="41"/>
      <c r="O74" s="18"/>
      <c r="P74" s="18"/>
      <c r="Q74" s="18"/>
    </row>
    <row r="75" spans="1:17" x14ac:dyDescent="0.2">
      <c r="E75" s="6"/>
      <c r="F75" s="56">
        <v>8500000</v>
      </c>
      <c r="G75" s="57">
        <f>C63*0.9-1100000</f>
        <v>-1100000</v>
      </c>
      <c r="H75" s="57" t="str">
        <f>IF(AND(C63&gt;=F74,C63&lt;F75),G75,"")</f>
        <v/>
      </c>
      <c r="I75" s="41"/>
      <c r="J75" s="41"/>
      <c r="K75" s="41"/>
      <c r="L75" s="41"/>
      <c r="M75" s="41"/>
      <c r="N75" s="41"/>
      <c r="O75" s="18"/>
      <c r="P75" s="18"/>
      <c r="Q75" s="18"/>
    </row>
    <row r="76" spans="1:17" x14ac:dyDescent="0.2">
      <c r="E76" s="6"/>
      <c r="F76" s="58" t="s">
        <v>100</v>
      </c>
      <c r="G76" s="57">
        <f>C63-1950000</f>
        <v>-1950000</v>
      </c>
      <c r="H76" s="57" t="str">
        <f>IF(C63&gt;=F75,G76,"")</f>
        <v/>
      </c>
      <c r="I76" s="41"/>
      <c r="J76" s="41"/>
      <c r="K76" s="41"/>
      <c r="L76" s="41"/>
      <c r="M76" s="41"/>
      <c r="N76" s="41"/>
      <c r="O76" s="118" t="s">
        <v>102</v>
      </c>
      <c r="P76" s="118"/>
      <c r="Q76" s="4"/>
    </row>
    <row r="77" spans="1:17" x14ac:dyDescent="0.2">
      <c r="E77" s="6"/>
      <c r="F77" s="56"/>
      <c r="G77" s="59" t="s">
        <v>42</v>
      </c>
      <c r="H77" s="57">
        <f>SUM(H66:H76)</f>
        <v>0</v>
      </c>
      <c r="I77" s="41"/>
      <c r="J77" s="41"/>
      <c r="K77" s="41"/>
      <c r="L77" s="41"/>
      <c r="M77" s="41"/>
      <c r="N77" s="41"/>
      <c r="O77" s="119">
        <f>IF(H77&gt;100000,100000,H77)+IF((K70+N70)&gt;100000,100000,(K70+N70))-100000</f>
        <v>-100000</v>
      </c>
      <c r="P77" s="119">
        <f>IF(O77&lt;0,0,O77)</f>
        <v>0</v>
      </c>
      <c r="Q77" s="4"/>
    </row>
    <row r="78" spans="1:17" x14ac:dyDescent="0.2">
      <c r="F78" s="60"/>
      <c r="G78" s="60"/>
      <c r="H78" s="60"/>
      <c r="I78" s="60"/>
      <c r="J78" s="60"/>
      <c r="K78" s="60"/>
      <c r="L78" s="60"/>
      <c r="M78" s="60"/>
      <c r="N78" s="60"/>
      <c r="O78" s="4"/>
      <c r="P78" s="4"/>
      <c r="Q78" s="4"/>
    </row>
    <row r="79" spans="1:17" x14ac:dyDescent="0.2">
      <c r="F79" s="60"/>
      <c r="G79" s="60"/>
      <c r="H79" s="60"/>
      <c r="I79" s="60"/>
      <c r="J79" s="60"/>
      <c r="K79" s="60"/>
      <c r="L79" s="60"/>
      <c r="M79" s="60"/>
      <c r="N79" s="60"/>
      <c r="O79" s="4"/>
      <c r="P79" s="4"/>
      <c r="Q79" s="4"/>
    </row>
    <row r="80" spans="1:17" x14ac:dyDescent="0.2">
      <c r="A80" s="252" t="s">
        <v>7</v>
      </c>
      <c r="B80" s="253"/>
      <c r="C80" s="254"/>
      <c r="D80" s="11"/>
      <c r="E80" s="11"/>
      <c r="F80" s="40"/>
      <c r="G80" s="40"/>
      <c r="H80" s="40"/>
      <c r="I80" s="40"/>
      <c r="J80" s="40"/>
      <c r="K80" s="40"/>
      <c r="L80" s="40"/>
      <c r="M80" s="40"/>
      <c r="N80" s="40"/>
      <c r="O80" s="4"/>
      <c r="P80" s="4"/>
      <c r="Q80" s="4"/>
    </row>
    <row r="81" spans="1:17" x14ac:dyDescent="0.2">
      <c r="A81" s="248" t="s">
        <v>77</v>
      </c>
      <c r="B81" s="248"/>
      <c r="C81" s="46">
        <f>IF(AND(入力シート!G31&lt;&gt;0,入力シート!K31&lt;&gt;0,入力シート!N31&lt;&gt;0,入力シート!Q31&lt;&gt;0),CONCATENATE(,IF(入力シート!G31="昭和","S",IF(入力シート!G31="平成","H",IF(入力シート!G31="令和","R","エラー")))&amp;入力シート!K31&amp;"."&amp;入力シート!N31&amp;"."&amp;入力シート!Q31),0)</f>
        <v>0</v>
      </c>
      <c r="D81" s="47">
        <f>YEAR(C81)</f>
        <v>1900</v>
      </c>
      <c r="E81" s="47">
        <f>MONTH(C81)</f>
        <v>1</v>
      </c>
      <c r="F81" s="47">
        <f>DAY(C81)</f>
        <v>0</v>
      </c>
      <c r="G81" s="47">
        <f>IF(C81&lt;&gt;0,D81*10000+E81*100+F81,0)</f>
        <v>0</v>
      </c>
      <c r="H81" s="40"/>
      <c r="I81" s="40"/>
      <c r="J81" s="40"/>
      <c r="K81" s="40"/>
      <c r="L81" s="40"/>
      <c r="M81" s="40"/>
      <c r="O81" s="4"/>
      <c r="P81" s="4"/>
      <c r="Q81" s="4"/>
    </row>
    <row r="82" spans="1:17" x14ac:dyDescent="0.2">
      <c r="A82" s="248" t="s">
        <v>43</v>
      </c>
      <c r="B82" s="248"/>
      <c r="C82" s="3">
        <f>入力シート!T31</f>
        <v>0</v>
      </c>
      <c r="D82" s="28" t="s">
        <v>44</v>
      </c>
      <c r="E82" s="5">
        <f>H96</f>
        <v>0</v>
      </c>
      <c r="F82" s="49" t="s">
        <v>34</v>
      </c>
      <c r="G82" s="50"/>
      <c r="H82" s="50"/>
      <c r="I82" s="51" t="s">
        <v>35</v>
      </c>
      <c r="J82" s="52"/>
      <c r="K82" s="52"/>
      <c r="L82" s="51" t="s">
        <v>36</v>
      </c>
      <c r="M82" s="52"/>
      <c r="N82" s="49"/>
    </row>
    <row r="83" spans="1:17" x14ac:dyDescent="0.2">
      <c r="A83" s="248" t="s">
        <v>45</v>
      </c>
      <c r="B83" s="248"/>
      <c r="C83" s="3">
        <f>IF(AND(G81&gt;0,G81&lt;=(E3-65)*10000+101),入力シート!AA31,0)</f>
        <v>0</v>
      </c>
      <c r="D83" s="28" t="s">
        <v>44</v>
      </c>
      <c r="E83" s="5">
        <f>N89</f>
        <v>0</v>
      </c>
      <c r="F83" s="49" t="s">
        <v>37</v>
      </c>
      <c r="G83" s="50" t="s">
        <v>38</v>
      </c>
      <c r="H83" s="50" t="s">
        <v>1</v>
      </c>
      <c r="I83" s="53" t="s">
        <v>39</v>
      </c>
      <c r="J83" s="53" t="s">
        <v>91</v>
      </c>
      <c r="K83" s="53" t="s">
        <v>92</v>
      </c>
      <c r="L83" s="53" t="s">
        <v>39</v>
      </c>
      <c r="M83" s="53" t="s">
        <v>91</v>
      </c>
      <c r="N83" s="53" t="s">
        <v>92</v>
      </c>
    </row>
    <row r="84" spans="1:17" x14ac:dyDescent="0.2">
      <c r="A84" s="248" t="s">
        <v>46</v>
      </c>
      <c r="B84" s="248"/>
      <c r="C84" s="3">
        <f>IF(G81&gt;=(E3-65)*10000+102,入力シート!AA31,0)</f>
        <v>0</v>
      </c>
      <c r="D84" s="28" t="s">
        <v>44</v>
      </c>
      <c r="E84" s="5">
        <f>K89</f>
        <v>0</v>
      </c>
      <c r="F84" s="38">
        <v>0</v>
      </c>
      <c r="G84" s="39"/>
      <c r="H84" s="39"/>
      <c r="I84" s="39">
        <v>0</v>
      </c>
      <c r="J84" s="39" t="s">
        <v>40</v>
      </c>
      <c r="K84" s="39" t="s">
        <v>40</v>
      </c>
      <c r="L84" s="39">
        <v>0</v>
      </c>
      <c r="M84" s="39" t="s">
        <v>40</v>
      </c>
      <c r="N84" s="39" t="s">
        <v>40</v>
      </c>
    </row>
    <row r="85" spans="1:17" x14ac:dyDescent="0.2">
      <c r="A85" s="248" t="s">
        <v>3</v>
      </c>
      <c r="B85" s="248"/>
      <c r="C85" s="258">
        <f>入力シート!AH31</f>
        <v>0</v>
      </c>
      <c r="D85" s="258"/>
      <c r="E85" s="5">
        <f>C85</f>
        <v>0</v>
      </c>
      <c r="F85" s="56">
        <v>551000</v>
      </c>
      <c r="G85" s="57">
        <v>0</v>
      </c>
      <c r="H85" s="57">
        <f>IF(AND(C82&gt;=F84,C82&lt;F85),G85,"")</f>
        <v>0</v>
      </c>
      <c r="I85" s="57">
        <v>1300000</v>
      </c>
      <c r="J85" s="57">
        <f>MAX(C84-600000,0)</f>
        <v>0</v>
      </c>
      <c r="K85" s="57">
        <f>IF(AND(C84&gt;=I84,C84&lt;I85),J85,"")</f>
        <v>0</v>
      </c>
      <c r="L85" s="57">
        <v>3300000</v>
      </c>
      <c r="M85" s="57">
        <f>MAX(C83-1100000,0)</f>
        <v>0</v>
      </c>
      <c r="N85" s="57">
        <f>IF(AND(C83&gt;=L84,C83&lt;L85),M85,"")</f>
        <v>0</v>
      </c>
    </row>
    <row r="86" spans="1:17" x14ac:dyDescent="0.2">
      <c r="A86" s="269"/>
      <c r="B86" s="269"/>
      <c r="C86" s="20"/>
      <c r="D86" s="7"/>
      <c r="E86" s="21"/>
      <c r="F86" s="56">
        <v>1619000</v>
      </c>
      <c r="G86" s="57">
        <f>MAX(C82-550000,0)</f>
        <v>0</v>
      </c>
      <c r="H86" s="57" t="str">
        <f>IF(AND(C82&gt;=F85,C82&lt;F86),G86,"")</f>
        <v/>
      </c>
      <c r="I86" s="57">
        <v>4100000</v>
      </c>
      <c r="J86" s="57">
        <f>MAX(C84*0.75-275000,0)</f>
        <v>0</v>
      </c>
      <c r="K86" s="57" t="str">
        <f>IF(AND(C84&gt;=I85,C84&lt;I86),J86,"")</f>
        <v/>
      </c>
      <c r="L86" s="57">
        <v>4100000</v>
      </c>
      <c r="M86" s="57">
        <f>MAX(C83*0.75-275000,0)</f>
        <v>0</v>
      </c>
      <c r="N86" s="57" t="str">
        <f>IF(AND(C83&gt;=L85,C83&lt;L86),M86,"")</f>
        <v/>
      </c>
      <c r="O86" s="18"/>
      <c r="P86" s="18"/>
      <c r="Q86" s="18"/>
    </row>
    <row r="87" spans="1:17" x14ac:dyDescent="0.2">
      <c r="E87" s="6"/>
      <c r="F87" s="56">
        <v>1620000</v>
      </c>
      <c r="G87" s="57">
        <v>1069000</v>
      </c>
      <c r="H87" s="57" t="str">
        <f>IF(AND(C82&gt;=F86,C82&lt;F87),G87,"")</f>
        <v/>
      </c>
      <c r="I87" s="57">
        <v>7700000</v>
      </c>
      <c r="J87" s="57">
        <f>MAX(C84*0.85-685000,0)</f>
        <v>0</v>
      </c>
      <c r="K87" s="57" t="str">
        <f>IF(AND(C84&gt;=I86,C84&lt;I87),J87,"")</f>
        <v/>
      </c>
      <c r="L87" s="57">
        <v>7700000</v>
      </c>
      <c r="M87" s="57">
        <f>MAX(C83*0.85-685000,0)</f>
        <v>0</v>
      </c>
      <c r="N87" s="57" t="str">
        <f>IF(AND(C83&gt;=L86,C83&lt;L87),M87,"")</f>
        <v/>
      </c>
      <c r="O87" s="18"/>
      <c r="P87" s="18"/>
      <c r="Q87" s="18"/>
    </row>
    <row r="88" spans="1:17" x14ac:dyDescent="0.2">
      <c r="A88" s="249" t="s">
        <v>58</v>
      </c>
      <c r="B88" s="249"/>
      <c r="C88" s="249"/>
      <c r="D88" s="250">
        <f>SUM(E82:E85)-P96</f>
        <v>0</v>
      </c>
      <c r="E88" s="251"/>
      <c r="F88" s="56">
        <v>1622000</v>
      </c>
      <c r="G88" s="57">
        <v>1070000</v>
      </c>
      <c r="H88" s="57" t="str">
        <f>IF(AND(C82&gt;=F87,C82&lt;F88),G88,"")</f>
        <v/>
      </c>
      <c r="I88" s="58" t="s">
        <v>79</v>
      </c>
      <c r="J88" s="57">
        <f>MAX(C84*0.95-1455000,0)</f>
        <v>0</v>
      </c>
      <c r="K88" s="57" t="str">
        <f>IF(C84&gt;=I87,J88,"")</f>
        <v/>
      </c>
      <c r="L88" s="58" t="s">
        <v>79</v>
      </c>
      <c r="M88" s="57">
        <f>MAX(C83*0.95-1455000,0)</f>
        <v>0</v>
      </c>
      <c r="N88" s="57" t="str">
        <f>IF(C83&gt;=L87,M88,"")</f>
        <v/>
      </c>
      <c r="O88" s="18"/>
      <c r="P88" s="18"/>
      <c r="Q88" s="18"/>
    </row>
    <row r="89" spans="1:17" x14ac:dyDescent="0.2">
      <c r="A89" s="249" t="s">
        <v>56</v>
      </c>
      <c r="B89" s="249"/>
      <c r="C89" s="249"/>
      <c r="D89" s="250">
        <f>SUM(E82,IF(E83-150000&gt;0,E83-150000,0),E84,E85)</f>
        <v>0</v>
      </c>
      <c r="E89" s="251"/>
      <c r="F89" s="56">
        <v>1624000</v>
      </c>
      <c r="G89" s="57">
        <v>1072000</v>
      </c>
      <c r="H89" s="57" t="str">
        <f>IF(AND(C82&gt;=F88,C82&lt;F89),G89,"")</f>
        <v/>
      </c>
      <c r="I89" s="57"/>
      <c r="J89" s="59" t="s">
        <v>70</v>
      </c>
      <c r="K89" s="57">
        <f>SUM(K85:K88)</f>
        <v>0</v>
      </c>
      <c r="L89" s="57"/>
      <c r="M89" s="59" t="s">
        <v>41</v>
      </c>
      <c r="N89" s="57">
        <f>SUM(N85:N88)</f>
        <v>0</v>
      </c>
      <c r="O89" s="18"/>
      <c r="P89" s="18"/>
      <c r="Q89" s="18"/>
    </row>
    <row r="90" spans="1:17" x14ac:dyDescent="0.2">
      <c r="E90" s="6"/>
      <c r="F90" s="56">
        <v>1628000</v>
      </c>
      <c r="G90" s="57">
        <v>1074000</v>
      </c>
      <c r="H90" s="57" t="str">
        <f>IF(AND(C82&gt;=F89,C82&lt;F90),G90,"")</f>
        <v/>
      </c>
      <c r="I90" s="57"/>
      <c r="J90" s="57"/>
      <c r="K90" s="57"/>
      <c r="L90" s="57"/>
      <c r="M90" s="57"/>
      <c r="N90" s="57"/>
      <c r="O90" s="18"/>
      <c r="P90" s="18"/>
      <c r="Q90" s="18"/>
    </row>
    <row r="91" spans="1:17" x14ac:dyDescent="0.2">
      <c r="E91" s="6"/>
      <c r="F91" s="56">
        <v>1800000</v>
      </c>
      <c r="G91" s="57">
        <f>ROUNDDOWN(C82/4000,0)*4000*0.6+100000</f>
        <v>100000</v>
      </c>
      <c r="H91" s="57" t="str">
        <f>IF(AND(C82&gt;=F90,C82&lt;F91),G91,"")</f>
        <v/>
      </c>
      <c r="I91" s="41"/>
      <c r="J91" s="41"/>
      <c r="K91" s="41"/>
      <c r="L91" s="41"/>
      <c r="M91" s="41"/>
      <c r="N91" s="41"/>
      <c r="O91" s="18"/>
      <c r="P91" s="18"/>
      <c r="Q91" s="18"/>
    </row>
    <row r="92" spans="1:17" x14ac:dyDescent="0.2">
      <c r="E92" s="6"/>
      <c r="F92" s="56">
        <v>3600000</v>
      </c>
      <c r="G92" s="57">
        <f>ROUNDDOWN(C82/4000,0)*4000*0.7-80000</f>
        <v>-80000</v>
      </c>
      <c r="H92" s="57" t="str">
        <f>IF(AND(C82&gt;=F91,C82&lt;F92),G92,"")</f>
        <v/>
      </c>
      <c r="I92" s="41"/>
      <c r="J92" s="41"/>
      <c r="K92" s="41"/>
      <c r="L92" s="41"/>
      <c r="M92" s="41"/>
      <c r="N92" s="41"/>
      <c r="O92" s="18"/>
      <c r="P92" s="18"/>
      <c r="Q92" s="18"/>
    </row>
    <row r="93" spans="1:17" x14ac:dyDescent="0.2">
      <c r="E93" s="6"/>
      <c r="F93" s="56">
        <v>6600000</v>
      </c>
      <c r="G93" s="57">
        <f>ROUNDDOWN(C82/4000,0)*4000*0.8-440000</f>
        <v>-440000</v>
      </c>
      <c r="H93" s="57" t="str">
        <f>IF(AND(C82&gt;=F92,C82&lt;F93),G93,"")</f>
        <v/>
      </c>
      <c r="I93" s="41"/>
      <c r="J93" s="41"/>
      <c r="K93" s="41"/>
      <c r="L93" s="41"/>
      <c r="M93" s="41"/>
      <c r="N93" s="41"/>
      <c r="O93" s="18"/>
      <c r="P93" s="18"/>
      <c r="Q93" s="18"/>
    </row>
    <row r="94" spans="1:17" x14ac:dyDescent="0.2">
      <c r="E94" s="6"/>
      <c r="F94" s="56">
        <v>8500000</v>
      </c>
      <c r="G94" s="57">
        <f>C82*0.9-1100000</f>
        <v>-1100000</v>
      </c>
      <c r="H94" s="57" t="str">
        <f>IF(AND(C82&gt;=F93,C82&lt;F94),G94,"")</f>
        <v/>
      </c>
      <c r="I94" s="41"/>
      <c r="J94" s="41"/>
      <c r="K94" s="41"/>
      <c r="L94" s="41"/>
      <c r="M94" s="41"/>
      <c r="N94" s="41"/>
      <c r="O94" s="18"/>
      <c r="P94" s="18"/>
      <c r="Q94" s="18"/>
    </row>
    <row r="95" spans="1:17" x14ac:dyDescent="0.2">
      <c r="E95" s="6"/>
      <c r="F95" s="58" t="s">
        <v>100</v>
      </c>
      <c r="G95" s="57">
        <f>C82-1950000</f>
        <v>-1950000</v>
      </c>
      <c r="H95" s="57" t="str">
        <f>IF(C82&gt;=F94,G95,"")</f>
        <v/>
      </c>
      <c r="I95" s="41"/>
      <c r="J95" s="41"/>
      <c r="K95" s="41"/>
      <c r="L95" s="41"/>
      <c r="M95" s="41"/>
      <c r="N95" s="41"/>
      <c r="O95" s="118" t="s">
        <v>102</v>
      </c>
      <c r="P95" s="118"/>
      <c r="Q95" s="4"/>
    </row>
    <row r="96" spans="1:17" x14ac:dyDescent="0.2">
      <c r="E96" s="6"/>
      <c r="F96" s="56"/>
      <c r="G96" s="59" t="s">
        <v>42</v>
      </c>
      <c r="H96" s="57">
        <f>SUM(H85:H95)</f>
        <v>0</v>
      </c>
      <c r="I96" s="41"/>
      <c r="J96" s="41"/>
      <c r="K96" s="41"/>
      <c r="L96" s="41"/>
      <c r="M96" s="41"/>
      <c r="N96" s="41"/>
      <c r="O96" s="119">
        <f>IF(H96&gt;100000,100000,H96)+IF((K89+N89)&gt;100000,100000,(K89+N89))-100000</f>
        <v>-100000</v>
      </c>
      <c r="P96" s="119">
        <f>IF(O96&lt;0,0,O96)</f>
        <v>0</v>
      </c>
      <c r="Q96" s="4"/>
    </row>
    <row r="97" spans="1:17" x14ac:dyDescent="0.2">
      <c r="F97" s="60"/>
      <c r="G97" s="60"/>
      <c r="H97" s="60"/>
      <c r="I97" s="60"/>
      <c r="J97" s="60"/>
      <c r="K97" s="60"/>
      <c r="L97" s="60"/>
      <c r="M97" s="60"/>
      <c r="N97" s="60"/>
      <c r="O97" s="4"/>
      <c r="P97" s="4"/>
      <c r="Q97" s="4"/>
    </row>
    <row r="98" spans="1:17" x14ac:dyDescent="0.2">
      <c r="F98" s="40"/>
      <c r="G98" s="40"/>
      <c r="H98" s="40"/>
      <c r="I98" s="40"/>
      <c r="J98" s="40"/>
      <c r="K98" s="40"/>
      <c r="L98" s="40"/>
      <c r="M98" s="40"/>
      <c r="N98" s="40"/>
      <c r="O98" s="4"/>
      <c r="P98" s="4"/>
      <c r="Q98" s="4"/>
    </row>
    <row r="99" spans="1:17" x14ac:dyDescent="0.2">
      <c r="A99" s="252" t="s">
        <v>8</v>
      </c>
      <c r="B99" s="253"/>
      <c r="C99" s="254"/>
      <c r="D99" s="11"/>
      <c r="E99" s="11"/>
      <c r="F99" s="40"/>
      <c r="G99" s="40"/>
      <c r="H99" s="40"/>
      <c r="I99" s="40"/>
      <c r="J99" s="40"/>
      <c r="K99" s="40"/>
      <c r="L99" s="40"/>
      <c r="M99" s="40"/>
      <c r="N99" s="40"/>
      <c r="O99" s="4"/>
      <c r="P99" s="4"/>
      <c r="Q99" s="4"/>
    </row>
    <row r="100" spans="1:17" x14ac:dyDescent="0.2">
      <c r="A100" s="248" t="s">
        <v>77</v>
      </c>
      <c r="B100" s="248"/>
      <c r="C100" s="46">
        <f>IF(AND(入力シート!G32&lt;&gt;0,入力シート!K32&lt;&gt;0,入力シート!N32&lt;&gt;0,入力シート!Q32&lt;&gt;0),CONCATENATE(,IF(入力シート!G32="昭和","S",IF(入力シート!G32="平成","H",IF(入力シート!G32="令和","R","エラー")))&amp;入力シート!K32&amp;"."&amp;入力シート!N32&amp;"."&amp;入力シート!Q32),0)</f>
        <v>0</v>
      </c>
      <c r="D100" s="47">
        <f>YEAR(C100)</f>
        <v>1900</v>
      </c>
      <c r="E100" s="47">
        <f>MONTH(C100)</f>
        <v>1</v>
      </c>
      <c r="F100" s="47">
        <f>DAY(C100)</f>
        <v>0</v>
      </c>
      <c r="G100" s="47">
        <f>IF(C100&lt;&gt;0,D100*10000+E100*100+F100,0)</f>
        <v>0</v>
      </c>
      <c r="H100" s="40"/>
      <c r="I100" s="40"/>
      <c r="J100" s="40"/>
      <c r="K100" s="40"/>
      <c r="L100" s="40"/>
      <c r="M100" s="40"/>
      <c r="O100" s="4"/>
      <c r="P100" s="4"/>
      <c r="Q100" s="4"/>
    </row>
    <row r="101" spans="1:17" x14ac:dyDescent="0.2">
      <c r="A101" s="248" t="s">
        <v>43</v>
      </c>
      <c r="B101" s="248"/>
      <c r="C101" s="3">
        <f>入力シート!T32</f>
        <v>0</v>
      </c>
      <c r="D101" s="28" t="s">
        <v>44</v>
      </c>
      <c r="E101" s="5">
        <f>H115</f>
        <v>0</v>
      </c>
      <c r="F101" s="49" t="s">
        <v>34</v>
      </c>
      <c r="G101" s="50"/>
      <c r="H101" s="50"/>
      <c r="I101" s="51" t="s">
        <v>35</v>
      </c>
      <c r="J101" s="52"/>
      <c r="K101" s="52"/>
      <c r="L101" s="51" t="s">
        <v>36</v>
      </c>
      <c r="M101" s="52"/>
      <c r="N101" s="49"/>
    </row>
    <row r="102" spans="1:17" x14ac:dyDescent="0.2">
      <c r="A102" s="248" t="s">
        <v>45</v>
      </c>
      <c r="B102" s="248"/>
      <c r="C102" s="3">
        <f>IF(AND(G100&gt;0,G100&lt;=(E3-65)*10000+101),入力シート!AA32,0)</f>
        <v>0</v>
      </c>
      <c r="D102" s="28" t="s">
        <v>44</v>
      </c>
      <c r="E102" s="5">
        <f>N108</f>
        <v>0</v>
      </c>
      <c r="F102" s="49" t="s">
        <v>37</v>
      </c>
      <c r="G102" s="50" t="s">
        <v>38</v>
      </c>
      <c r="H102" s="50" t="s">
        <v>1</v>
      </c>
      <c r="I102" s="53" t="s">
        <v>39</v>
      </c>
      <c r="J102" s="53" t="s">
        <v>91</v>
      </c>
      <c r="K102" s="53" t="s">
        <v>92</v>
      </c>
      <c r="L102" s="53" t="s">
        <v>39</v>
      </c>
      <c r="M102" s="53" t="s">
        <v>91</v>
      </c>
      <c r="N102" s="53" t="s">
        <v>92</v>
      </c>
    </row>
    <row r="103" spans="1:17" x14ac:dyDescent="0.2">
      <c r="A103" s="248" t="s">
        <v>46</v>
      </c>
      <c r="B103" s="248"/>
      <c r="C103" s="3">
        <f>IF(G100&gt;=(E3-65)*10000+102,入力シート!AA32,0)</f>
        <v>0</v>
      </c>
      <c r="D103" s="28" t="s">
        <v>44</v>
      </c>
      <c r="E103" s="5">
        <f>K108</f>
        <v>0</v>
      </c>
      <c r="F103" s="38">
        <v>0</v>
      </c>
      <c r="G103" s="39"/>
      <c r="H103" s="39"/>
      <c r="I103" s="39">
        <v>0</v>
      </c>
      <c r="J103" s="39" t="s">
        <v>40</v>
      </c>
      <c r="K103" s="39" t="s">
        <v>40</v>
      </c>
      <c r="L103" s="39">
        <v>0</v>
      </c>
      <c r="M103" s="39" t="s">
        <v>40</v>
      </c>
      <c r="N103" s="39" t="s">
        <v>40</v>
      </c>
    </row>
    <row r="104" spans="1:17" x14ac:dyDescent="0.2">
      <c r="A104" s="248" t="s">
        <v>3</v>
      </c>
      <c r="B104" s="248"/>
      <c r="C104" s="258">
        <f>入力シート!AH32</f>
        <v>0</v>
      </c>
      <c r="D104" s="258"/>
      <c r="E104" s="5">
        <f>C104</f>
        <v>0</v>
      </c>
      <c r="F104" s="56">
        <v>551000</v>
      </c>
      <c r="G104" s="57">
        <v>0</v>
      </c>
      <c r="H104" s="57">
        <f>IF(AND(C101&gt;=F103,C101&lt;F104),G104,"")</f>
        <v>0</v>
      </c>
      <c r="I104" s="57">
        <v>1300000</v>
      </c>
      <c r="J104" s="57">
        <f>MAX(C103-600000,0)</f>
        <v>0</v>
      </c>
      <c r="K104" s="57">
        <f>IF(AND(C103&gt;=I103,C103&lt;I104),J104,"")</f>
        <v>0</v>
      </c>
      <c r="L104" s="57">
        <v>3300000</v>
      </c>
      <c r="M104" s="57">
        <f>MAX(C102-1100000,0)</f>
        <v>0</v>
      </c>
      <c r="N104" s="57">
        <f>IF(AND(C102&gt;=L103,C102&lt;L104),M104,"")</f>
        <v>0</v>
      </c>
    </row>
    <row r="105" spans="1:17" x14ac:dyDescent="0.2">
      <c r="A105" s="269"/>
      <c r="B105" s="269"/>
      <c r="C105" s="20"/>
      <c r="D105" s="7"/>
      <c r="E105" s="21"/>
      <c r="F105" s="56">
        <v>1619000</v>
      </c>
      <c r="G105" s="57">
        <f>MAX(C101-550000,0)</f>
        <v>0</v>
      </c>
      <c r="H105" s="57" t="str">
        <f>IF(AND(C101&gt;=F104,C101&lt;F105),G105,"")</f>
        <v/>
      </c>
      <c r="I105" s="57">
        <v>4100000</v>
      </c>
      <c r="J105" s="57">
        <f>MAX(C103*0.75-275000,0)</f>
        <v>0</v>
      </c>
      <c r="K105" s="57" t="str">
        <f>IF(AND(C103&gt;=I104,C103&lt;I105),J105,"")</f>
        <v/>
      </c>
      <c r="L105" s="57">
        <v>4100000</v>
      </c>
      <c r="M105" s="57">
        <f>MAX(C102*0.75-275000,0)</f>
        <v>0</v>
      </c>
      <c r="N105" s="57" t="str">
        <f>IF(AND(C102&gt;=L104,C102&lt;L105),M105,"")</f>
        <v/>
      </c>
      <c r="O105" s="18"/>
      <c r="P105" s="18"/>
      <c r="Q105" s="18"/>
    </row>
    <row r="106" spans="1:17" x14ac:dyDescent="0.2">
      <c r="E106" s="6"/>
      <c r="F106" s="56">
        <v>1620000</v>
      </c>
      <c r="G106" s="57">
        <v>1069000</v>
      </c>
      <c r="H106" s="57" t="str">
        <f>IF(AND(C101&gt;=F105,C101&lt;F106),G106,"")</f>
        <v/>
      </c>
      <c r="I106" s="57">
        <v>7700000</v>
      </c>
      <c r="J106" s="57">
        <f>MAX(C103*0.85-685000,0)</f>
        <v>0</v>
      </c>
      <c r="K106" s="57" t="str">
        <f>IF(AND(C103&gt;=I105,C103&lt;I106),J106,"")</f>
        <v/>
      </c>
      <c r="L106" s="57">
        <v>7700000</v>
      </c>
      <c r="M106" s="57">
        <f>MAX(C102*0.85-685000,0)</f>
        <v>0</v>
      </c>
      <c r="N106" s="57" t="str">
        <f>IF(AND(C102&gt;=L105,C102&lt;L106),M106,"")</f>
        <v/>
      </c>
      <c r="O106" s="18"/>
      <c r="P106" s="18"/>
      <c r="Q106" s="18"/>
    </row>
    <row r="107" spans="1:17" x14ac:dyDescent="0.2">
      <c r="A107" s="249" t="s">
        <v>58</v>
      </c>
      <c r="B107" s="249"/>
      <c r="C107" s="249"/>
      <c r="D107" s="250">
        <f>SUM(E101:E104)-P115</f>
        <v>0</v>
      </c>
      <c r="E107" s="251"/>
      <c r="F107" s="56">
        <v>1622000</v>
      </c>
      <c r="G107" s="57">
        <v>1070000</v>
      </c>
      <c r="H107" s="57" t="str">
        <f>IF(AND(C101&gt;=F106,C101&lt;F107),G107,"")</f>
        <v/>
      </c>
      <c r="I107" s="58" t="s">
        <v>79</v>
      </c>
      <c r="J107" s="57">
        <f>MAX(C103*0.95-1455000,0)</f>
        <v>0</v>
      </c>
      <c r="K107" s="57" t="str">
        <f>IF(C103&gt;=I106,J107,"")</f>
        <v/>
      </c>
      <c r="L107" s="58" t="s">
        <v>79</v>
      </c>
      <c r="M107" s="57">
        <f>MAX(C102*0.95-1455000,0)</f>
        <v>0</v>
      </c>
      <c r="N107" s="57" t="str">
        <f>IF(C102&gt;=L106,M107,"")</f>
        <v/>
      </c>
      <c r="O107" s="18"/>
      <c r="P107" s="18"/>
      <c r="Q107" s="18"/>
    </row>
    <row r="108" spans="1:17" x14ac:dyDescent="0.2">
      <c r="A108" s="249" t="s">
        <v>56</v>
      </c>
      <c r="B108" s="249"/>
      <c r="C108" s="249"/>
      <c r="D108" s="250">
        <f>SUM(E101,IF(E102-150000&gt;0,E102-150000,0),E103,E104)</f>
        <v>0</v>
      </c>
      <c r="E108" s="251"/>
      <c r="F108" s="56">
        <v>1624000</v>
      </c>
      <c r="G108" s="57">
        <v>1072000</v>
      </c>
      <c r="H108" s="57" t="str">
        <f>IF(AND(C101&gt;=F107,C101&lt;F108),G108,"")</f>
        <v/>
      </c>
      <c r="I108" s="57"/>
      <c r="J108" s="59" t="s">
        <v>70</v>
      </c>
      <c r="K108" s="57">
        <f>SUM(K104:K107)</f>
        <v>0</v>
      </c>
      <c r="L108" s="57"/>
      <c r="M108" s="59" t="s">
        <v>41</v>
      </c>
      <c r="N108" s="57">
        <f>SUM(N104:N107)</f>
        <v>0</v>
      </c>
      <c r="O108" s="18"/>
      <c r="P108" s="18"/>
      <c r="Q108" s="18"/>
    </row>
    <row r="109" spans="1:17" x14ac:dyDescent="0.2">
      <c r="E109" s="6"/>
      <c r="F109" s="56">
        <v>1628000</v>
      </c>
      <c r="G109" s="57">
        <v>1074000</v>
      </c>
      <c r="H109" s="57" t="str">
        <f>IF(AND(C101&gt;=F108,C101&lt;F109),G109,"")</f>
        <v/>
      </c>
      <c r="I109" s="57"/>
      <c r="J109" s="57"/>
      <c r="K109" s="57"/>
      <c r="L109" s="57"/>
      <c r="M109" s="57"/>
      <c r="N109" s="57"/>
      <c r="O109" s="18"/>
      <c r="P109" s="18"/>
      <c r="Q109" s="18"/>
    </row>
    <row r="110" spans="1:17" x14ac:dyDescent="0.2">
      <c r="E110" s="6"/>
      <c r="F110" s="56">
        <v>1800000</v>
      </c>
      <c r="G110" s="57">
        <f>ROUNDDOWN(C101/4000,0)*4000*0.6+100000</f>
        <v>100000</v>
      </c>
      <c r="H110" s="57" t="str">
        <f>IF(AND(C101&gt;=F109,C101&lt;F110),G110,"")</f>
        <v/>
      </c>
      <c r="I110" s="41"/>
      <c r="J110" s="41"/>
      <c r="K110" s="41"/>
      <c r="L110" s="41"/>
      <c r="M110" s="41"/>
      <c r="N110" s="41"/>
      <c r="O110" s="18"/>
      <c r="P110" s="18"/>
      <c r="Q110" s="18"/>
    </row>
    <row r="111" spans="1:17" x14ac:dyDescent="0.2">
      <c r="E111" s="6"/>
      <c r="F111" s="56">
        <v>3600000</v>
      </c>
      <c r="G111" s="57">
        <f>ROUNDDOWN(C101/4000,0)*4000*0.7-80000</f>
        <v>-80000</v>
      </c>
      <c r="H111" s="57" t="str">
        <f>IF(AND(C101&gt;=F110,C101&lt;F111),G111,"")</f>
        <v/>
      </c>
      <c r="I111" s="41"/>
      <c r="J111" s="41"/>
      <c r="K111" s="41"/>
      <c r="L111" s="41"/>
      <c r="M111" s="41"/>
      <c r="N111" s="41"/>
      <c r="O111" s="18"/>
      <c r="P111" s="18"/>
      <c r="Q111" s="18"/>
    </row>
    <row r="112" spans="1:17" x14ac:dyDescent="0.2">
      <c r="E112" s="6"/>
      <c r="F112" s="56">
        <v>6600000</v>
      </c>
      <c r="G112" s="57">
        <f>ROUNDDOWN(C101/4000,0)*4000*0.8-440000</f>
        <v>-440000</v>
      </c>
      <c r="H112" s="57" t="str">
        <f>IF(AND(C101&gt;=F111,C101&lt;F112),G112,"")</f>
        <v/>
      </c>
      <c r="I112" s="41"/>
      <c r="J112" s="41"/>
      <c r="K112" s="41"/>
      <c r="L112" s="41"/>
      <c r="M112" s="41"/>
      <c r="N112" s="41"/>
      <c r="O112" s="18"/>
      <c r="P112" s="18"/>
      <c r="Q112" s="18"/>
    </row>
    <row r="113" spans="5:17" x14ac:dyDescent="0.2">
      <c r="E113" s="6"/>
      <c r="F113" s="56">
        <v>8500000</v>
      </c>
      <c r="G113" s="57">
        <f>C101*0.9-1100000</f>
        <v>-1100000</v>
      </c>
      <c r="H113" s="57" t="str">
        <f>IF(AND(C101&gt;=F112,C101&lt;F113),G113,"")</f>
        <v/>
      </c>
      <c r="I113" s="41"/>
      <c r="J113" s="41"/>
      <c r="K113" s="41"/>
      <c r="L113" s="41"/>
      <c r="M113" s="41"/>
      <c r="N113" s="41"/>
      <c r="O113" s="18"/>
      <c r="P113" s="18"/>
      <c r="Q113" s="18"/>
    </row>
    <row r="114" spans="5:17" x14ac:dyDescent="0.2">
      <c r="E114" s="6"/>
      <c r="F114" s="58" t="s">
        <v>100</v>
      </c>
      <c r="G114" s="57">
        <f>C101-1950000</f>
        <v>-1950000</v>
      </c>
      <c r="H114" s="57" t="str">
        <f>IF(C101&gt;=F113,G114,"")</f>
        <v/>
      </c>
      <c r="I114" s="41"/>
      <c r="J114" s="41"/>
      <c r="K114" s="41"/>
      <c r="L114" s="41"/>
      <c r="M114" s="41"/>
      <c r="N114" s="41"/>
      <c r="O114" s="118" t="s">
        <v>102</v>
      </c>
      <c r="P114" s="118"/>
      <c r="Q114" s="4"/>
    </row>
    <row r="115" spans="5:17" x14ac:dyDescent="0.2">
      <c r="E115" s="6"/>
      <c r="F115" s="56"/>
      <c r="G115" s="59" t="s">
        <v>42</v>
      </c>
      <c r="H115" s="57">
        <f>SUM(H104:H114)</f>
        <v>0</v>
      </c>
      <c r="I115" s="41"/>
      <c r="J115" s="41"/>
      <c r="K115" s="41"/>
      <c r="L115" s="41"/>
      <c r="M115" s="41"/>
      <c r="N115" s="41"/>
      <c r="O115" s="119">
        <f>IF(H115&gt;100000,100000,H115)+IF((K108+N108)&gt;100000,100000,(K108+N108))-100000</f>
        <v>-100000</v>
      </c>
      <c r="P115" s="119">
        <f>IF(O115&lt;0,0,O115)</f>
        <v>0</v>
      </c>
      <c r="Q115" s="4"/>
    </row>
    <row r="116" spans="5:17" x14ac:dyDescent="0.2">
      <c r="F116" s="60"/>
      <c r="G116" s="60"/>
      <c r="H116" s="60"/>
      <c r="I116" s="60"/>
      <c r="J116" s="60"/>
      <c r="K116" s="60"/>
      <c r="L116" s="60"/>
      <c r="M116" s="60"/>
      <c r="N116" s="60"/>
      <c r="O116" s="4"/>
      <c r="P116" s="4"/>
      <c r="Q116" s="4"/>
    </row>
    <row r="117" spans="5:17" x14ac:dyDescent="0.2">
      <c r="O117" s="4"/>
      <c r="P117" s="4"/>
      <c r="Q117" s="4"/>
    </row>
    <row r="118" spans="5:17" x14ac:dyDescent="0.2">
      <c r="O118" s="4"/>
      <c r="P118" s="4"/>
      <c r="Q118" s="4"/>
    </row>
    <row r="119" spans="5:17" x14ac:dyDescent="0.2">
      <c r="O119" s="4"/>
      <c r="P119" s="4"/>
      <c r="Q119" s="4"/>
    </row>
  </sheetData>
  <mergeCells count="68">
    <mergeCell ref="A104:B104"/>
    <mergeCell ref="C104:D104"/>
    <mergeCell ref="A105:B105"/>
    <mergeCell ref="A107:C107"/>
    <mergeCell ref="D107:E107"/>
    <mergeCell ref="A103:B103"/>
    <mergeCell ref="A83:B83"/>
    <mergeCell ref="A80:C80"/>
    <mergeCell ref="A84:B84"/>
    <mergeCell ref="A85:B85"/>
    <mergeCell ref="C85:D85"/>
    <mergeCell ref="A86:B86"/>
    <mergeCell ref="A99:C99"/>
    <mergeCell ref="A88:C88"/>
    <mergeCell ref="D88:E88"/>
    <mergeCell ref="A100:B100"/>
    <mergeCell ref="A101:B101"/>
    <mergeCell ref="A102:B102"/>
    <mergeCell ref="A67:B67"/>
    <mergeCell ref="A81:B81"/>
    <mergeCell ref="A82:B82"/>
    <mergeCell ref="A69:C69"/>
    <mergeCell ref="C47:D47"/>
    <mergeCell ref="A48:B48"/>
    <mergeCell ref="A50:C50"/>
    <mergeCell ref="D50:E50"/>
    <mergeCell ref="A62:B62"/>
    <mergeCell ref="A61:C61"/>
    <mergeCell ref="A65:B65"/>
    <mergeCell ref="A66:B66"/>
    <mergeCell ref="C66:D66"/>
    <mergeCell ref="A42:C42"/>
    <mergeCell ref="A32:C32"/>
    <mergeCell ref="D32:E32"/>
    <mergeCell ref="A24:B24"/>
    <mergeCell ref="A25:B25"/>
    <mergeCell ref="A26:B26"/>
    <mergeCell ref="A27:B27"/>
    <mergeCell ref="A29:B29"/>
    <mergeCell ref="A31:C31"/>
    <mergeCell ref="D31:E31"/>
    <mergeCell ref="A1:E2"/>
    <mergeCell ref="A3:A4"/>
    <mergeCell ref="A5:A6"/>
    <mergeCell ref="C5:E5"/>
    <mergeCell ref="B4:D4"/>
    <mergeCell ref="A23:C23"/>
    <mergeCell ref="B3:D3"/>
    <mergeCell ref="A28:B28"/>
    <mergeCell ref="C28:D28"/>
    <mergeCell ref="F5:G5"/>
    <mergeCell ref="A12:B12"/>
    <mergeCell ref="A43:B43"/>
    <mergeCell ref="A44:B44"/>
    <mergeCell ref="A108:C108"/>
    <mergeCell ref="D108:E108"/>
    <mergeCell ref="A51:C51"/>
    <mergeCell ref="D51:E51"/>
    <mergeCell ref="A70:C70"/>
    <mergeCell ref="D69:E69"/>
    <mergeCell ref="A45:B45"/>
    <mergeCell ref="A46:B46"/>
    <mergeCell ref="A89:C89"/>
    <mergeCell ref="D89:E89"/>
    <mergeCell ref="D70:E70"/>
    <mergeCell ref="A63:B63"/>
    <mergeCell ref="A64:B64"/>
    <mergeCell ref="A47:B47"/>
  </mergeCells>
  <phoneticPr fontId="2"/>
  <pageMargins left="0.35433070866141736" right="0" top="0.39370078740157483" bottom="0.39370078740157483" header="0.51181102362204722" footer="0.51181102362204722"/>
  <pageSetup paperSize="8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算出計算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岡山市役所</dc:creator>
  <cp:lastModifiedBy>P0188409</cp:lastModifiedBy>
  <cp:lastPrinted>2025-05-29T01:36:31Z</cp:lastPrinted>
  <dcterms:created xsi:type="dcterms:W3CDTF">2012-11-25T23:48:43Z</dcterms:created>
  <dcterms:modified xsi:type="dcterms:W3CDTF">2025-05-29T01:37:01Z</dcterms:modified>
</cp:coreProperties>
</file>